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fncs01.sharepoint.com/sites/FNCS-Partage/Documents partages/01_DEVELOPPEMENT des CDS/OUTILS_de suivi par thématique/Accord national/"/>
    </mc:Choice>
  </mc:AlternateContent>
  <xr:revisionPtr revIDLastSave="0" documentId="8_{EF329BBE-195F-4828-A2F0-8051FCF75F41}" xr6:coauthVersionLast="47" xr6:coauthVersionMax="47" xr10:uidLastSave="{00000000-0000-0000-0000-000000000000}"/>
  <bookViews>
    <workbookView xWindow="0" yWindow="600" windowWidth="28800" windowHeight="15600" xr2:uid="{00000000-000D-0000-FFFF-FFFF0000000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0" i="1" l="1"/>
  <c r="H71" i="1"/>
  <c r="J5" i="1"/>
  <c r="J3" i="1"/>
  <c r="H84" i="1"/>
  <c r="H83" i="1"/>
  <c r="H79" i="1"/>
  <c r="H78" i="1"/>
  <c r="H77" i="1"/>
  <c r="H76" i="1"/>
  <c r="H75" i="1"/>
  <c r="H74" i="1"/>
  <c r="H73" i="1"/>
  <c r="H68" i="1"/>
  <c r="H67" i="1"/>
  <c r="H62" i="1"/>
  <c r="H61" i="1"/>
  <c r="H59" i="1"/>
  <c r="H57" i="1"/>
  <c r="H56" i="1"/>
  <c r="F56" i="1" s="1"/>
  <c r="H55" i="1"/>
  <c r="H54" i="1"/>
  <c r="H53" i="1"/>
  <c r="H50" i="1"/>
  <c r="H49" i="1"/>
  <c r="H48" i="1"/>
  <c r="H47" i="1"/>
  <c r="H46" i="1"/>
  <c r="H44" i="1"/>
  <c r="F44" i="1" s="1"/>
  <c r="H43" i="1"/>
  <c r="H42" i="1"/>
  <c r="H40" i="1"/>
  <c r="H39" i="1"/>
  <c r="H38" i="1"/>
  <c r="H36" i="1"/>
  <c r="H35" i="1"/>
  <c r="H34" i="1"/>
  <c r="H26" i="1"/>
  <c r="F26" i="1" s="1"/>
  <c r="H24" i="1"/>
  <c r="H23" i="1"/>
  <c r="H19" i="1"/>
  <c r="H18" i="1"/>
  <c r="H16" i="1"/>
  <c r="L13" i="1"/>
  <c r="L14" i="1" s="1"/>
  <c r="H15" i="1"/>
  <c r="H14" i="1"/>
  <c r="N11" i="1"/>
  <c r="L11" i="1"/>
  <c r="H13" i="1"/>
  <c r="H81" i="1"/>
  <c r="E8" i="1"/>
  <c r="H27" i="1" s="1"/>
  <c r="F61" i="1" l="1"/>
  <c r="F38" i="1"/>
  <c r="H29" i="1"/>
  <c r="F29" i="1" s="1"/>
  <c r="L12" i="1"/>
  <c r="M3" i="1"/>
  <c r="L5" i="1" s="1"/>
  <c r="O5" i="1" s="1"/>
  <c r="H17" i="1"/>
  <c r="F12" i="1" s="1"/>
  <c r="G10" i="1" s="1"/>
  <c r="H20" i="1"/>
  <c r="F18" i="1" s="1"/>
  <c r="H51" i="1"/>
  <c r="F46" i="1" s="1"/>
  <c r="F83" i="1"/>
  <c r="H82" i="1"/>
  <c r="H69" i="1"/>
  <c r="F68" i="1" s="1"/>
  <c r="H66" i="1"/>
  <c r="H52" i="1"/>
  <c r="F52" i="1" s="1"/>
  <c r="H22" i="1"/>
  <c r="H25" i="1" s="1"/>
  <c r="F22" i="1" s="1"/>
  <c r="F27" i="1"/>
  <c r="H33" i="1"/>
  <c r="H37" i="1" s="1"/>
  <c r="F33" i="1" s="1"/>
  <c r="O11" i="1"/>
  <c r="F71" i="1"/>
  <c r="H58" i="1"/>
  <c r="F57" i="1" s="1"/>
  <c r="F73" i="1"/>
  <c r="L6" i="1" l="1"/>
  <c r="O6" i="1" s="1"/>
  <c r="L8" i="1"/>
  <c r="O8" i="1" s="1"/>
  <c r="L4" i="1"/>
  <c r="O4" i="1" s="1"/>
  <c r="L7" i="1"/>
  <c r="O7" i="1" s="1"/>
  <c r="F10" i="1"/>
  <c r="F66" i="1"/>
  <c r="F65" i="1" s="1"/>
  <c r="F32" i="1"/>
  <c r="F31" i="1"/>
  <c r="G31" i="1" s="1"/>
  <c r="L17" i="1" l="1"/>
  <c r="L18" i="1" s="1"/>
  <c r="L9" i="1"/>
  <c r="F64" i="1"/>
  <c r="G64" i="1" s="1"/>
  <c r="O9" i="1"/>
  <c r="N14" i="1" s="1"/>
  <c r="F9" i="1" l="1"/>
  <c r="H9" i="1" s="1"/>
  <c r="N12" i="1" s="1"/>
</calcChain>
</file>

<file path=xl/sharedStrings.xml><?xml version="1.0" encoding="utf-8"?>
<sst xmlns="http://schemas.openxmlformats.org/spreadsheetml/2006/main" count="287" uniqueCount="196">
  <si>
    <t xml:space="preserve">Calculette CDS médicaux et polyvalents post avenant V des centres de santé              </t>
  </si>
  <si>
    <t>Patientèle MT adulte+enfants du CDS &lt; 8000  (patientèle de réf. = 4 000)</t>
  </si>
  <si>
    <t>Nb Med Gé</t>
  </si>
  <si>
    <r>
      <rPr>
        <b/>
        <sz val="9"/>
        <color theme="1"/>
        <rFont val="Calibri"/>
        <family val="2"/>
        <scheme val="minor"/>
      </rPr>
      <t>Effectif en individus</t>
    </r>
    <r>
      <rPr>
        <sz val="9"/>
        <color theme="1"/>
        <rFont val="Calibri"/>
        <family val="2"/>
        <scheme val="minor"/>
      </rPr>
      <t>&lt;=16 :   MG + Spé +  Dent +   IPA +  0,2IDE +  Sage F + Psycho+Paramed</t>
    </r>
  </si>
  <si>
    <t>Patientèle MT</t>
  </si>
  <si>
    <t>Base</t>
  </si>
  <si>
    <t>Montant</t>
  </si>
  <si>
    <t>Patientèle MT adulte+enfants du CDS &gt; 8000  (patientèle de réf. = 4 000)</t>
  </si>
  <si>
    <t>Nb Med Spé</t>
  </si>
  <si>
    <t>Enfants de 0 à 6 ans inclus</t>
  </si>
  <si>
    <t>Patientèle soins dentaires (patientèle de réf. = 2 600)</t>
  </si>
  <si>
    <t>Nb Chir Dent</t>
  </si>
  <si>
    <r>
      <rPr>
        <b/>
        <sz val="9"/>
        <color theme="1"/>
        <rFont val="Calibri"/>
        <family val="2"/>
        <scheme val="minor"/>
      </rPr>
      <t>Effectif  individus</t>
    </r>
    <r>
      <rPr>
        <sz val="9"/>
        <color theme="1"/>
        <rFont val="Calibri"/>
        <family val="2"/>
        <scheme val="minor"/>
      </rPr>
      <t>&gt;=16 :14 MG +  13 Spé +  1 Dent +   IDE IPA +  1 IDE +  Sage F +  1 Psycho</t>
    </r>
  </si>
  <si>
    <t>Patientèle soins infirmiers (patientèle de réf. = 450)</t>
  </si>
  <si>
    <t>Nb IPA</t>
  </si>
  <si>
    <t>Dont nombre ETP de Généralistes</t>
  </si>
  <si>
    <t>Patientèle adulte+enfants en AME avec au moins 2 actes / an</t>
  </si>
  <si>
    <t>Nb autr Parame</t>
  </si>
  <si>
    <r>
      <rPr>
        <sz val="11"/>
        <rFont val="Aptos Narrow"/>
        <family val="2"/>
      </rPr>
      <t>↓</t>
    </r>
    <r>
      <rPr>
        <i/>
        <sz val="9"/>
        <rFont val="Calibri"/>
        <family val="2"/>
      </rPr>
      <t>AD+AM</t>
    </r>
    <r>
      <rPr>
        <i/>
        <sz val="14"/>
        <rFont val="Calibri"/>
        <family val="2"/>
      </rPr>
      <t xml:space="preserve"> / </t>
    </r>
    <r>
      <rPr>
        <i/>
        <sz val="9"/>
        <rFont val="Calibri"/>
        <family val="2"/>
      </rPr>
      <t>Psy</t>
    </r>
    <r>
      <rPr>
        <sz val="9"/>
        <rFont val="Calibri"/>
        <family val="2"/>
      </rPr>
      <t>↑</t>
    </r>
    <r>
      <rPr>
        <i/>
        <sz val="9"/>
        <rFont val="Calibri"/>
        <family val="2"/>
      </rPr>
      <t xml:space="preserve">  </t>
    </r>
  </si>
  <si>
    <t xml:space="preserve"> Nb de Sage-femme</t>
  </si>
  <si>
    <t>Patients 80 et plus</t>
  </si>
  <si>
    <t>Patientèle de référence Médicale totale du CDS avec AME</t>
  </si>
  <si>
    <t>Nb IDE</t>
  </si>
  <si>
    <t>Nb de PS  paramédicaux pour Scan des Ordonnances SCOR.</t>
  </si>
  <si>
    <t>Patients moins 80 ans en ALD</t>
  </si>
  <si>
    <t>TOTAL POINTS</t>
  </si>
  <si>
    <t xml:space="preserve">Rémunération spécifique AN                      </t>
  </si>
  <si>
    <t>Patients de 80 et plus en ALD</t>
  </si>
  <si>
    <t>Bloc commun principal socle</t>
  </si>
  <si>
    <t>Nb de pts</t>
  </si>
  <si>
    <t>Accès aux soins</t>
  </si>
  <si>
    <t>Contrôle Patientèle MT</t>
  </si>
  <si>
    <t>RPMT</t>
  </si>
  <si>
    <t xml:space="preserve">Accessibilité du centre de santé </t>
  </si>
  <si>
    <t>Durée d'ouverture par jour (amplitude des horaires) ET</t>
  </si>
  <si>
    <t>Rémunération fixe de 800 points seulement si les 2 critères sont remplis</t>
  </si>
  <si>
    <r>
      <t xml:space="preserve">MAJORATIONS DE PRECARITE sur précarité CSS + AME
</t>
    </r>
    <r>
      <rPr>
        <b/>
        <sz val="9"/>
        <color theme="1"/>
        <rFont val="Calibri"/>
        <family val="2"/>
        <scheme val="minor"/>
      </rPr>
      <t>Préca CDS  en Nb                     Préca nationale en Nb                        Majo taux CDS/ taux Nl</t>
    </r>
  </si>
  <si>
    <t>Accès à des soins non programmés chaque jour ouvré</t>
  </si>
  <si>
    <t>Minoration amplitude</t>
  </si>
  <si>
    <t>Minoration de 150 pts si amplitude &lt; 10 h / de 60 pts si amplitude &lt; 12 h Art. 15.5 AN</t>
  </si>
  <si>
    <t>Préca du CDS =CSS+AME sur FA / Préca Nat. 9,552+0,4</t>
  </si>
  <si>
    <t>Ouvert le samedi matin</t>
  </si>
  <si>
    <t>Minoration fermeture samedi</t>
  </si>
  <si>
    <t>Minoration de 120 pts si centre fermé le samedi. Art . 15.5 AN</t>
  </si>
  <si>
    <t xml:space="preserve">Taux Surpréca AN&gt;10,6 % sur File Active </t>
  </si>
  <si>
    <t>= AN total moins complémentaire X Taux surpréca CDS</t>
  </si>
  <si>
    <t>Semaines de fermeture dans l'année pendant des congés scolaires</t>
  </si>
  <si>
    <t>Minoration fermeture annuelle</t>
  </si>
  <si>
    <t>Minoration de 30 pts par semaine de fermeture dans la limite de 3 semaines, Art 15.5 AN</t>
  </si>
  <si>
    <t>Taux de Précarité du CDS = CSS sur PMT du CDS</t>
  </si>
  <si>
    <r>
      <t xml:space="preserve">Taux </t>
    </r>
    <r>
      <rPr>
        <b/>
        <sz val="9"/>
        <color theme="1"/>
        <rFont val="Calibri"/>
        <family val="2"/>
        <scheme val="minor"/>
      </rPr>
      <t>,</t>
    </r>
    <r>
      <rPr>
        <b/>
        <sz val="8"/>
        <color theme="1"/>
        <rFont val="Calibri"/>
        <family val="2"/>
        <scheme val="minor"/>
      </rPr>
      <t xml:space="preserve"> national CSS</t>
    </r>
  </si>
  <si>
    <t>Présence d'une IPA</t>
  </si>
  <si>
    <t>non</t>
  </si>
  <si>
    <t>Rémunération fixe de 2O0 points fixes si présence d'une IPA dans le centre de santé Art. 15.5 AN</t>
  </si>
  <si>
    <t>Taux Surpréca sur la PMT &gt; taux National</t>
  </si>
  <si>
    <t>=RPMT x 50% du taux de surpréca PMT</t>
  </si>
  <si>
    <t>Score</t>
  </si>
  <si>
    <t>Réponse crise sanitaire grave</t>
  </si>
  <si>
    <r>
      <rPr>
        <b/>
        <sz val="16"/>
        <color theme="1"/>
        <rFont val="Times New Roman"/>
        <family val="1"/>
      </rPr>
      <t>*</t>
    </r>
    <r>
      <rPr>
        <b/>
        <sz val="10"/>
        <color theme="1"/>
        <rFont val="Times New Roman"/>
        <family val="1"/>
      </rPr>
      <t xml:space="preserve"> Rédaction d’un plan de préparation </t>
    </r>
    <r>
      <rPr>
        <sz val="9"/>
        <color theme="1"/>
        <rFont val="Times New Roman"/>
        <family val="1"/>
      </rPr>
      <t>(quelle que soit la situation sanitaire) pour la rédaction d’un plan de préparation et ses mises à jour</t>
    </r>
  </si>
  <si>
    <t>Rémunération fixe de 100 points fixe</t>
  </si>
  <si>
    <t>Dossiers en RCP</t>
  </si>
  <si>
    <r>
      <t>Mise en œuvre d’actions :</t>
    </r>
    <r>
      <rPr>
        <sz val="8"/>
        <color theme="1"/>
        <rFont val="Times New Roman"/>
        <family val="1"/>
      </rPr>
      <t xml:space="preserve"> Dès la survenue d’une crise sanitaire grave, est valorisée toute action pouvant répondre aux besoins en soins des patients en lien avec le plan de préparation rédigé </t>
    </r>
  </si>
  <si>
    <t>Rémunération 350 point variable selon la patientèle</t>
  </si>
  <si>
    <t>Base patientèle RCP</t>
  </si>
  <si>
    <t>Nb dossiers RCP/an</t>
  </si>
  <si>
    <t xml:space="preserve"> </t>
  </si>
  <si>
    <t>Travail en équipe</t>
  </si>
  <si>
    <t>Concertation pluriprofessionnelle formalisée et régulière</t>
  </si>
  <si>
    <t>6 réunions en moyenne par an et concernant globalement sur l'année au moins 5% des patients en ALD ou de plus de 75 ans</t>
  </si>
  <si>
    <t>Base compte tenu de la patientèle</t>
  </si>
  <si>
    <t>Rémunération sur base variable de 1000 points (pour 4 000 patients)</t>
  </si>
  <si>
    <r>
      <t xml:space="preserve">Si la structure est </t>
    </r>
    <r>
      <rPr>
        <b/>
        <sz val="9"/>
        <color theme="1"/>
        <rFont val="Calibri"/>
        <family val="2"/>
        <scheme val="minor"/>
      </rPr>
      <t>dépourvue</t>
    </r>
    <r>
      <rPr>
        <sz val="9"/>
        <color theme="1"/>
        <rFont val="Calibri"/>
        <family val="2"/>
        <scheme val="minor"/>
      </rPr>
      <t xml:space="preserve"> d'activité paramédicale : les concertations précitées associent-elles au moins un professionnel paramédical conventionné à cet effet ?</t>
    </r>
  </si>
  <si>
    <t>-</t>
  </si>
  <si>
    <t>Minoration "prof. paramédical"</t>
  </si>
  <si>
    <t>Minoration de 250 pts si concertation sans aucun auxiliaire médical associé ou de 150 pts si centre sans activité paramédicale mais concertation organisée par convention et effective avec auxiliaire(s) médical(aux) externe(s) Art 15.5 AN</t>
  </si>
  <si>
    <t>(option) Au moins 3 réunions de coordination entre chirurgiens dentistes par an</t>
  </si>
  <si>
    <t>Option : coordination des chirurgiens dentistes</t>
  </si>
  <si>
    <t>Rémunération variable optionnelle de 200 points pour centre avec forte activité dentaire si au moins 3 réunions annuelles de coordination entre chirurgiens dentistes soit 20% HSD du CDS</t>
  </si>
  <si>
    <t>Protocoles pluri-pro</t>
  </si>
  <si>
    <t>Nombre de protocoles pluripro : (1 critère) : élaboration en référence aux recommandations de la HAS pour la prise en charge et le suivi des patients concernés (au moins deux professions de santé associées)</t>
  </si>
  <si>
    <t>Rémunération de 100 points par protocole dans la limite de 800 points pour 8 protocoles</t>
  </si>
  <si>
    <t>Fonction de coordination</t>
  </si>
  <si>
    <t>Rémunération de 1000 points fiixes+ 1700 pts variables par tranche de 4000 patients et 1 100 points au-delà de 8 000 patients (par tranche de 4 000 patients).</t>
  </si>
  <si>
    <t>Système d'information</t>
  </si>
  <si>
    <r>
      <t>Système d'information partagé  labellisé par l'ASIP Santé et compatible avec le DMP</t>
    </r>
    <r>
      <rPr>
        <u/>
        <sz val="11"/>
        <color indexed="8"/>
        <rFont val="Calibri"/>
        <family val="2"/>
      </rPr>
      <t/>
    </r>
  </si>
  <si>
    <t xml:space="preserve">Rémunération sur base fixe de 500 points fixe et sur base variable 200 points par PS associés de la structure et 150 points par PS au-delà de 16 </t>
  </si>
  <si>
    <t>Bloc commun principal optionnel</t>
  </si>
  <si>
    <t>Missions de santé publique</t>
  </si>
  <si>
    <t>Nombre (de 0 à 2) de missions de santé publique réalisées</t>
  </si>
  <si>
    <t>Base compte tenu de la patientèle (missions 1 à 2)</t>
  </si>
  <si>
    <t>Rémunération sur base variable de 350 points (pour 4 000 patients) par mission dans la limite de 2 missions différentes</t>
  </si>
  <si>
    <t>Supplément IPA</t>
  </si>
  <si>
    <t>Rémunération fixe de 2O0 points fixes si présence d'une IPA dans le centre de santé</t>
  </si>
  <si>
    <r>
      <t xml:space="preserve">Si structure avec </t>
    </r>
    <r>
      <rPr>
        <b/>
        <sz val="9"/>
        <color theme="1"/>
        <rFont val="Calibri"/>
        <family val="2"/>
        <scheme val="minor"/>
      </rPr>
      <t>forte activité infirmière</t>
    </r>
    <r>
      <rPr>
        <sz val="9"/>
        <color theme="1"/>
        <rFont val="Calibri"/>
        <family val="2"/>
        <scheme val="minor"/>
      </rPr>
      <t>, au moins une mission de santé publique "infirmière" supplémentaire (au-delà des 2 précédemment comptabilisées)</t>
    </r>
  </si>
  <si>
    <t>Supplément pour 3ème mission, "infirmière"</t>
  </si>
  <si>
    <t>Rémunération sur base variable de 200 points (si minimum 450 patients IDE ) dans la limite d'une mission "infirmière" (au-delà des 2 précédemment comptabilisées)</t>
  </si>
  <si>
    <r>
      <t xml:space="preserve">Si structure avec </t>
    </r>
    <r>
      <rPr>
        <b/>
        <sz val="9"/>
        <color theme="1"/>
        <rFont val="Calibri"/>
        <family val="2"/>
        <scheme val="minor"/>
      </rPr>
      <t>forte activité dentaire</t>
    </r>
    <r>
      <rPr>
        <sz val="9"/>
        <color theme="1"/>
        <rFont val="Calibri"/>
        <family val="2"/>
        <scheme val="minor"/>
      </rPr>
      <t>, au moins une mission de santé publique "dentaire" supplémentaire (au-delà des 2 précédemment comptabilisées)</t>
    </r>
  </si>
  <si>
    <t>Supplément : 3ème mission, "dentaire"</t>
  </si>
  <si>
    <t>Rémunération sur base variable de 200 points (pour 2600 patients) par mission dans la limite d'une mission "dentaire" (au-delà des 2 précédemment comptabilisées)</t>
  </si>
  <si>
    <t>Diversification offre de soins</t>
  </si>
  <si>
    <t>Consultations de spécialistes de second recours ou accès à sage-femme ou chirurgien-dentiste (au moins 2 jours/mois)</t>
  </si>
  <si>
    <t>Rémunération fixe de 30O points fixe</t>
  </si>
  <si>
    <t>Consultations de spécialistes de second recours ou accès à sage-femme ou chirurgien-dentiste (au moins 0,5 ETP) (points supplémentaires)</t>
  </si>
  <si>
    <r>
      <t xml:space="preserve">Offre diversité de soins médicaux spécialisés et paramédicaux par les prof. autres que ceux pris en compte dans les deux premiers critères (au moins 2 prof; médicales différentes en sus de la médecine générale </t>
    </r>
    <r>
      <rPr>
        <b/>
        <sz val="10"/>
        <color theme="1"/>
        <rFont val="Calibri"/>
        <family val="2"/>
        <scheme val="minor"/>
      </rPr>
      <t>ou</t>
    </r>
    <r>
      <rPr>
        <sz val="9"/>
        <color theme="1"/>
        <rFont val="Calibri"/>
        <family val="2"/>
        <scheme val="minor"/>
      </rPr>
      <t xml:space="preserve"> au moins 3 professions para-médicales différentes)</t>
    </r>
  </si>
  <si>
    <t>Rémunération fixe de 300 points fixe</t>
  </si>
  <si>
    <r>
      <t xml:space="preserve">Offre d’une diversité de services de soins médicaux spécialisés et paramédicaux assurée par les professionnels, autres que ceux déjà pris en compte dans les deux premiers critères (au moins 2 professions médicales différentes en sus de la médecine générale </t>
    </r>
    <r>
      <rPr>
        <b/>
        <sz val="10"/>
        <color theme="1"/>
        <rFont val="Calibri"/>
        <family val="2"/>
        <scheme val="minor"/>
      </rPr>
      <t>et</t>
    </r>
    <r>
      <rPr>
        <sz val="9"/>
        <color theme="1"/>
        <rFont val="Calibri"/>
        <family val="2"/>
        <scheme val="minor"/>
      </rPr>
      <t xml:space="preserve"> au moins 3 professions paramédicales différentes) (points supplémentaires)</t>
    </r>
  </si>
  <si>
    <t>Accueil médecin CSTM, y compris pour les centres de santé infirmiers ou dentaires ayant changé de spécialité au sens de FINESS du fait de l’intégration d’au moins 1 ETP de médecin généraliste salarié (optionnel)</t>
  </si>
  <si>
    <t>Rémunération fixe de 200 points fixe</t>
  </si>
  <si>
    <t>SAS</t>
  </si>
  <si>
    <t>Le centre de santé s'organise pour participer aux SAS et répondre aux indicateurs Art 8.3.5</t>
  </si>
  <si>
    <t>Rémunération fixe de 200 points fixes</t>
  </si>
  <si>
    <t>Formation des jeunes professionnels de santé</t>
  </si>
  <si>
    <t>Au moins 2 stages par an de professionnels de santé (accueillis en interne)</t>
  </si>
  <si>
    <t>Base (stages au moins 2)</t>
  </si>
  <si>
    <t>Rémunération sur base fixe de 450 points au moins 2 stages par an</t>
  </si>
  <si>
    <t>Stagiaire médecins (transposition ROSP structure ML)</t>
  </si>
  <si>
    <t>Base (stages au plus 2)</t>
  </si>
  <si>
    <t>Stagiaire médecins dans la limite des 2 stages/an. 1 stage étant valorisé 50 points</t>
  </si>
  <si>
    <t>Si structure avec forte activité infirmière au moins 1 stage IDE par an</t>
  </si>
  <si>
    <t>Base 1 stage</t>
  </si>
  <si>
    <t>Rémunération fixe de 225 points pour centre avec forte activité infirmière si au moins 1 stage IDE</t>
  </si>
  <si>
    <t>Si structure avec forte activité dentaire, au moins un stage dentaire en plus des 2 précédemment comptabilisés</t>
  </si>
  <si>
    <t>Supplément : 1 stage, "dentaire"</t>
  </si>
  <si>
    <t>Rémunérationfixe de 225 points pour au moins un stage dentaire et 1 supplémentaire</t>
  </si>
  <si>
    <t>Stage de médecin supplémentaire jusqu'à 2 en plus</t>
  </si>
  <si>
    <t>Base (1 stagesau plus)</t>
  </si>
  <si>
    <t>Stagiaire médecins supplémentaire dans la limite des 2 stages/an. 1 stage étant valorisé 225 points</t>
  </si>
  <si>
    <t>Coordination externe</t>
  </si>
  <si>
    <t>Coordination organisée et formalisée avec les professionnels et structures externes (1 des 4 critères)</t>
  </si>
  <si>
    <t>1-procédure définissant les modalités de transmission des données de santé vers les professionnels de santé extérieurs à la structure ainsi que vers les services et établissements sanitaires et médico-sociaux,
2-conventions avec au moins 2 établissements, sanitaires ou établissements ou services médico-sociaux pour partage d'informations, 
3-répertoire actualisé de l'offre sanitaire et sociale, 
4-retour d’information au médecin traitant sur la vaccination antigrippale  (socle)</t>
  </si>
  <si>
    <t>Si structure avec forte activité dentaire, 1 contrat avec EHPAD ou établissement de santé médico-social (proposer un bilan bucco-dentaire à 100% des nouveaux patients et réaliser au moins 80% de bilans)</t>
  </si>
  <si>
    <t>Supplément : BBD dans cadre contractuel</t>
  </si>
  <si>
    <t xml:space="preserve">1 contrat passé avec un EHPAD ou un établissement de santé médico-social </t>
  </si>
  <si>
    <t>Rémunération fixe de 2O0 points variables si présence d'une IPA dans le centre de santé</t>
  </si>
  <si>
    <t>Si le centre de santé intègre parmi ses professionnels de santé un IPA; Nb de protocoles</t>
  </si>
  <si>
    <t xml:space="preserve">(40 points par protocoles dans la limite de 8) </t>
  </si>
  <si>
    <t>CPTS - SAS</t>
  </si>
  <si>
    <t>Valoriser la participation à une organisation proposant la prise en charge de soins non programmés dans le cadre de la régulation du SAS : Nombre d'ETP MG</t>
  </si>
  <si>
    <t>Variable 200 pts par ETP MG dans le SAS</t>
  </si>
  <si>
    <t>- agenda ouvert au public ou partagé avec le SAS permettant la réservation de RDV en ligne de patients non connus par le médecin, avec un minimum de 2 heures ouvertes/ETP médecin généraliste par semaine
- et être inscrit auprès de la structure de régulation du dispositif SAS ou faire partie d’une CPTS participant à la mission de SNP dans le cadre du SAS</t>
  </si>
  <si>
    <t>Protocoles et parcours</t>
  </si>
  <si>
    <t xml:space="preserve">Protocoles de coopération SNP </t>
  </si>
  <si>
    <t>1- PEC d'éruption prurigineuse enfant de 12 mois à 12 ans par IDE ou pharmacien ; 
2 -Rent TTT rhino-conjonctivite allergique saisonnière par IDE ou pharmacien ;
3-PEC pollakiurie/brûlure mictionnelle par IDE ou pharmacien ; 
4-PEC traumatisme en torsion de cheville par kinésithérapeute;
5-PEC douleur lombaire par kinésithérapeute. </t>
  </si>
  <si>
    <t xml:space="preserve">Parcours insuffisance cardiaque </t>
  </si>
  <si>
    <t>Valorisation 100 pts variable</t>
  </si>
  <si>
    <t xml:space="preserve">Accompagner les enfants en surpoids ou obésité commune non compliquée ou présentant des facteurs de risque d’obésité </t>
  </si>
  <si>
    <t>Valorisation 100 pts fixe</t>
  </si>
  <si>
    <t xml:space="preserve">    </t>
  </si>
  <si>
    <t>Structure avec forte activité dentaire ?</t>
  </si>
  <si>
    <t>Supplément forte activité dentaire</t>
  </si>
  <si>
    <t>Supplément pour centre avec forte activité dentaire : rémunération sur base variable de 450 points (pour 2 600 patients) - au prorata temporis selon date d'acquisition</t>
  </si>
  <si>
    <t>Système d'information labellisé niveau avancé par l'ASIP Santé</t>
  </si>
  <si>
    <t>Rémunération fixe de 100 points -  au prorata temporis selon date d'acquisition</t>
  </si>
  <si>
    <t>Bloc commun complémentaire (optionnel)</t>
  </si>
  <si>
    <t>Publics vulnérables</t>
  </si>
  <si>
    <r>
      <t xml:space="preserve"> </t>
    </r>
    <r>
      <rPr>
        <b/>
        <sz val="9"/>
        <color theme="1"/>
        <rFont val="Calibri"/>
        <family val="2"/>
        <scheme val="minor"/>
      </rPr>
      <t>Identifier</t>
    </r>
    <r>
      <rPr>
        <sz val="9"/>
        <color theme="1"/>
        <rFont val="Calibri"/>
        <family val="2"/>
        <scheme val="minor"/>
      </rPr>
      <t xml:space="preserve"> et repérer les publics, </t>
    </r>
    <r>
      <rPr>
        <b/>
        <sz val="9"/>
        <color theme="1"/>
        <rFont val="Calibri"/>
        <family val="2"/>
        <scheme val="minor"/>
      </rPr>
      <t>comprendre</t>
    </r>
    <r>
      <rPr>
        <sz val="9"/>
        <color theme="1"/>
        <rFont val="Calibri"/>
        <family val="2"/>
        <scheme val="minor"/>
      </rPr>
      <t xml:space="preserve"> et former à la spécificité des vulnérabilités, </t>
    </r>
    <r>
      <rPr>
        <b/>
        <sz val="9"/>
        <color theme="1"/>
        <rFont val="Calibri"/>
        <family val="2"/>
        <scheme val="minor"/>
      </rPr>
      <t>aller vers</t>
    </r>
    <r>
      <rPr>
        <sz val="9"/>
        <color theme="1"/>
        <rFont val="Calibri"/>
        <family val="2"/>
        <scheme val="minor"/>
      </rPr>
      <t xml:space="preserve"> et faire avec, </t>
    </r>
    <r>
      <rPr>
        <b/>
        <sz val="9"/>
        <color theme="1"/>
        <rFont val="Calibri"/>
        <family val="2"/>
        <scheme val="minor"/>
      </rPr>
      <t>se coordonner</t>
    </r>
    <r>
      <rPr>
        <sz val="9"/>
        <color theme="1"/>
        <rFont val="Calibri"/>
        <family val="2"/>
        <scheme val="minor"/>
      </rPr>
      <t xml:space="preserve"> avec les acteurs (3 niveaux cumulables)</t>
    </r>
  </si>
  <si>
    <t>Score variable modulée delta taux précarité</t>
  </si>
  <si>
    <t>Niveau 1 (si 2 des 4 actions réalisées) 200 pts;
Niveau 2 (si 2 des 4 actions réalisées) 400 pts; SI 1 Sagefemme VAD + 50 pts
Niveau 3 (si 2 des 4 actions réalisées) 800 pts; SI 1 Sagefemme VAD + 50 pts</t>
  </si>
  <si>
    <t>Médiateur en santé</t>
  </si>
  <si>
    <t>300 pts fixes si présence d'un médiateur identifié</t>
  </si>
  <si>
    <t>Implication des patients</t>
  </si>
  <si>
    <t>Niveau 1 : la consultation, l’information et sensibilisation des patients</t>
  </si>
  <si>
    <t>Score fixe</t>
  </si>
  <si>
    <t>200 pts fixe</t>
  </si>
  <si>
    <t>Niveau 2 :la co-construction, le partenariat, la co-décision</t>
  </si>
  <si>
    <t>la mise en place d’outils ou actions visant à la co-construction, le partenariat, la co-décision entre la structure et les usagers sont valorisés</t>
  </si>
  <si>
    <t>Démarche qualité</t>
  </si>
  <si>
    <t xml:space="preserve"> Niveaux atteints dans la démarche d'auto-évaluation avec production d'un PAQ</t>
  </si>
  <si>
    <t>Niveau 1= 100 pts fixe pour Coordinateur Référent Amélioration Qualité; 
Niveau 2=150 pts fixe et 25 variable (pour 11 ETP PS) pour 50 % PAQ ; 
Niveau 3= 150 pts fixe et 25 variable (pour 11 ETP PS) pour 100% PAQ; 
Niveau 4=150 pts Certification audit externe.  
Les pts variable sont pour 11 ETP med et paramedicaux;
 Rémunération de 550 points au maximum, selon niveau atteint</t>
  </si>
  <si>
    <t>Remplissage du DMP (optionnel)</t>
  </si>
  <si>
    <t>30 % des consultations alimentant le DMP (40 pts par ETP MG dans la limite de 20 ETP)</t>
  </si>
  <si>
    <t>Usage de la MSS</t>
  </si>
  <si>
    <t>au moins 5 % des consultations avec échange par mail sécurisé avec un patient via Mon espace santé (40 pts par ETP MG dans la limite de 20 ETP)</t>
  </si>
  <si>
    <t>Capacité à coder les données</t>
  </si>
  <si>
    <t>Rémunération 100 points fixes</t>
  </si>
  <si>
    <t xml:space="preserve">Equipement pour vidéotransmission sécurisée nécessaire à la réalisation de la téléconsultation </t>
  </si>
  <si>
    <t>Rémunération fixe de 50 pts</t>
  </si>
  <si>
    <t xml:space="preserve">  Si activité infirmière participant à la téléconsultation </t>
  </si>
  <si>
    <t>Valorisation de 50 points fixes de l’équipement pour vidéotransmission</t>
  </si>
  <si>
    <t xml:space="preserve">Equipements médicaux connectés, utiles à la télémédecine </t>
  </si>
  <si>
    <t>25 points par ETP médicaux et infirmiers</t>
  </si>
  <si>
    <t>Utilisation des téléservices</t>
  </si>
  <si>
    <t>Rémunération fixe de 90 points sur justification informatique des téléservices</t>
  </si>
  <si>
    <t>Taux de télétransmission &gt;= 70 %</t>
  </si>
  <si>
    <t>Rémunération sur base variable de 440 points (pour 11 ETP médicaux et paramédicaux)</t>
  </si>
  <si>
    <t>Scannérisation des ordonnances (SCOR)</t>
  </si>
  <si>
    <t>Rémunération sur base variable de 46 points (pour 3,3 ETP paramédicaux)</t>
  </si>
  <si>
    <t>A partir de 2024</t>
  </si>
  <si>
    <r>
      <rPr>
        <b/>
        <sz val="9"/>
        <color theme="1"/>
        <rFont val="Calibri"/>
        <family val="2"/>
        <scheme val="minor"/>
      </rPr>
      <t>E-prescription</t>
    </r>
    <r>
      <rPr>
        <sz val="9"/>
        <color theme="1"/>
        <rFont val="Calibri"/>
        <family val="2"/>
        <scheme val="minor"/>
      </rPr>
      <t xml:space="preserve"> (optionnel) -40 % des prescriptions de produits de santé établies pour sa patientèle réalisées via le service e-prescription </t>
    </r>
  </si>
  <si>
    <t>40 pts par ETP MG dans la limite de 20 ETP</t>
  </si>
  <si>
    <r>
      <rPr>
        <b/>
        <sz val="9"/>
        <color theme="1"/>
        <rFont val="Calibri"/>
        <family val="2"/>
        <scheme val="minor"/>
      </rPr>
      <t>Application carte vitale</t>
    </r>
    <r>
      <rPr>
        <sz val="9"/>
        <color theme="1"/>
        <rFont val="Calibri"/>
        <family val="2"/>
        <scheme val="minor"/>
      </rPr>
      <t xml:space="preserve"> 5 % des FSE réalisées avec l’application carte Vitale</t>
    </r>
  </si>
  <si>
    <r>
      <rPr>
        <b/>
        <sz val="8"/>
        <color theme="1"/>
        <rFont val="Calibri"/>
        <family val="2"/>
        <scheme val="minor"/>
      </rPr>
      <t xml:space="preserve">Effectif  ETP </t>
    </r>
    <r>
      <rPr>
        <sz val="8"/>
        <color theme="1"/>
        <rFont val="Calibri"/>
        <family val="2"/>
        <scheme val="minor"/>
      </rPr>
      <t>: 5,15 MG+ 3,6 Spé+0,7 Dent+ IPA + 0,2 IDE + Sage F + 4,9 autres paramed + 3,16 Autres PS</t>
    </r>
  </si>
  <si>
    <t>Rémunération Accord National (FNCS version juin 2025)</t>
  </si>
  <si>
    <t xml:space="preserve">  Coordina-tion</t>
  </si>
  <si>
    <t>Patients de 7 à 79 ans</t>
  </si>
  <si>
    <t>Base unitaire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</si>
</sst>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 &quot;CF&quot;_-;\-* #,##0.00\ &quot;CF&quot;_-;_-* &quot;-&quot;??\ &quot;CF&quot;_-;_-@_-"/>
    <numFmt numFmtId="165" formatCode="_-* #,##0.0000\ _€_-;\-* #,##0.0000\ _€_-;_-* &quot;-&quot;????\ _€_-;_-@_-"/>
    <numFmt numFmtId="166" formatCode="_-* #,##0\ &quot;€&quot;_-;\-* #,##0\ &quot;€&quot;_-;_-* &quot;-&quot;??\ &quot;€&quot;_-;_-@_-"/>
    <numFmt numFmtId="167" formatCode="_-* #,##0\ [$€-40C]_-;\-* #,##0\ [$€-40C]_-;_-* &quot;-&quot;??\ [$€-40C]_-;_-@_-"/>
    <numFmt numFmtId="168" formatCode="0.0%"/>
    <numFmt numFmtId="169" formatCode="_-* #,##0.00\ [$€-40C]_-;\-* #,##0.00\ [$€-40C]_-;_-* &quot;-&quot;??\ [$€-40C]_-;_-@_-"/>
    <numFmt numFmtId="170" formatCode="_-* #,##0.0000_-;\-* #,##0.0000_-;_-* &quot;-&quot;??_-;_-@_-"/>
    <numFmt numFmtId="171" formatCode="0.0000%"/>
    <numFmt numFmtId="172" formatCode="#,##0.0"/>
  </numFmts>
  <fonts count="41"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20"/>
      <color theme="1"/>
      <name val="Calibri"/>
      <family val="2"/>
      <scheme val="minor"/>
    </font>
    <font>
      <b/>
      <sz val="20"/>
      <color theme="0"/>
      <name val="Calibri"/>
      <family val="2"/>
    </font>
    <font>
      <sz val="10"/>
      <color theme="1"/>
      <name val="Calibri"/>
      <family val="2"/>
      <scheme val="minor"/>
    </font>
    <font>
      <b/>
      <sz val="11"/>
      <color indexed="8"/>
      <name val="Calibri"/>
      <family val="2"/>
    </font>
    <font>
      <i/>
      <sz val="9"/>
      <name val="Calibri"/>
      <family val="2"/>
    </font>
    <font>
      <b/>
      <sz val="9"/>
      <color theme="1"/>
      <name val="Calibri"/>
      <family val="2"/>
      <scheme val="minor"/>
    </font>
    <font>
      <b/>
      <sz val="8"/>
      <color theme="1"/>
      <name val="Calibri"/>
      <family val="2"/>
      <scheme val="minor"/>
    </font>
    <font>
      <b/>
      <sz val="10"/>
      <color theme="1"/>
      <name val="Calibri"/>
      <family val="2"/>
      <scheme val="minor"/>
    </font>
    <font>
      <sz val="8"/>
      <color theme="1"/>
      <name val="Calibri"/>
      <family val="2"/>
      <scheme val="minor"/>
    </font>
    <font>
      <b/>
      <i/>
      <sz val="11"/>
      <color indexed="8"/>
      <name val="Calibri"/>
      <family val="2"/>
    </font>
    <font>
      <i/>
      <sz val="11"/>
      <color indexed="8"/>
      <name val="Calibri"/>
      <family val="2"/>
    </font>
    <font>
      <i/>
      <sz val="10"/>
      <name val="Calibri"/>
      <family val="2"/>
    </font>
    <font>
      <sz val="11"/>
      <name val="Aptos Narrow"/>
      <family val="2"/>
    </font>
    <font>
      <i/>
      <sz val="14"/>
      <name val="Calibri"/>
      <family val="2"/>
    </font>
    <font>
      <sz val="9"/>
      <name val="Calibri"/>
      <family val="2"/>
    </font>
    <font>
      <b/>
      <sz val="14"/>
      <color theme="0"/>
      <name val="Calibri"/>
      <family val="2"/>
    </font>
    <font>
      <b/>
      <sz val="12"/>
      <color theme="0"/>
      <name val="Calibri"/>
      <family val="2"/>
    </font>
    <font>
      <b/>
      <sz val="14"/>
      <name val="Calibri"/>
      <family val="2"/>
    </font>
    <font>
      <b/>
      <sz val="9"/>
      <color theme="0"/>
      <name val="Calibri"/>
      <family val="2"/>
    </font>
    <font>
      <b/>
      <sz val="15"/>
      <color rgb="FFC00000"/>
      <name val="Calibri"/>
      <family val="2"/>
    </font>
    <font>
      <b/>
      <sz val="9"/>
      <name val="Calibri"/>
      <family val="2"/>
    </font>
    <font>
      <sz val="11"/>
      <name val="Calibri"/>
      <family val="2"/>
      <charset val="1"/>
    </font>
    <font>
      <b/>
      <sz val="11"/>
      <color rgb="FFFF0000"/>
      <name val="Calibri"/>
      <family val="2"/>
    </font>
    <font>
      <b/>
      <sz val="12"/>
      <color theme="1"/>
      <name val="Calibri"/>
      <family val="2"/>
      <scheme val="minor"/>
    </font>
    <font>
      <sz val="9"/>
      <color indexed="8"/>
      <name val="Calibri"/>
      <family val="2"/>
    </font>
    <font>
      <b/>
      <sz val="8"/>
      <color indexed="8"/>
      <name val="Calibri"/>
      <family val="2"/>
    </font>
    <font>
      <sz val="20"/>
      <color indexed="8"/>
      <name val="Calibri"/>
      <family val="2"/>
      <charset val="1"/>
    </font>
    <font>
      <b/>
      <sz val="11"/>
      <name val="Calibri"/>
      <family val="2"/>
    </font>
    <font>
      <b/>
      <sz val="10"/>
      <name val="Calibri"/>
      <family val="2"/>
    </font>
    <font>
      <b/>
      <sz val="10"/>
      <color theme="1"/>
      <name val="Times New Roman"/>
      <family val="1"/>
    </font>
    <font>
      <b/>
      <sz val="16"/>
      <color theme="1"/>
      <name val="Times New Roman"/>
      <family val="1"/>
    </font>
    <font>
      <sz val="9"/>
      <color theme="1"/>
      <name val="Times New Roman"/>
      <family val="1"/>
    </font>
    <font>
      <sz val="8"/>
      <color theme="1"/>
      <name val="Times New Roman"/>
      <family val="1"/>
    </font>
    <font>
      <u/>
      <sz val="11"/>
      <color indexed="8"/>
      <name val="Calibri"/>
      <family val="2"/>
    </font>
    <font>
      <b/>
      <sz val="9"/>
      <color rgb="FFC00000"/>
      <name val="Calibri"/>
      <family val="2"/>
    </font>
    <font>
      <i/>
      <sz val="11"/>
      <color rgb="FF1F497D"/>
      <name val="Calibri"/>
      <family val="2"/>
      <scheme val="minor"/>
    </font>
    <font>
      <b/>
      <sz val="13"/>
      <color rgb="FFC00000"/>
      <name val="Calibri"/>
      <family val="2"/>
    </font>
  </fonts>
  <fills count="10">
    <fill>
      <patternFill patternType="none"/>
    </fill>
    <fill>
      <patternFill patternType="gray125"/>
    </fill>
    <fill>
      <patternFill patternType="solid">
        <fgColor theme="8" tint="0.59999389629810485"/>
        <bgColor indexed="64"/>
      </patternFill>
    </fill>
    <fill>
      <patternFill patternType="solid">
        <fgColor rgb="FFF7873B"/>
        <bgColor indexed="64"/>
      </patternFill>
    </fill>
    <fill>
      <patternFill patternType="solid">
        <fgColor theme="5" tint="0.59999389629810485"/>
        <bgColor indexed="64"/>
      </patternFill>
    </fill>
    <fill>
      <patternFill patternType="solid">
        <fgColor rgb="FF00FF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s>
  <borders count="7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314">
    <xf numFmtId="0" fontId="0" fillId="0" borderId="0" xfId="0"/>
    <xf numFmtId="0" fontId="3" fillId="0" borderId="0" xfId="0" applyFont="1" applyAlignment="1">
      <alignment wrapText="1"/>
    </xf>
    <xf numFmtId="1" fontId="0" fillId="0" borderId="0" xfId="0" applyNumberFormat="1"/>
    <xf numFmtId="165" fontId="0" fillId="0" borderId="0" xfId="0" applyNumberFormat="1"/>
    <xf numFmtId="167" fontId="0" fillId="4" borderId="0" xfId="0" applyNumberFormat="1" applyFill="1"/>
    <xf numFmtId="3" fontId="7" fillId="5" borderId="17" xfId="0" applyNumberFormat="1" applyFont="1" applyFill="1" applyBorder="1" applyAlignment="1" applyProtection="1">
      <alignment horizontal="center" vertical="center"/>
      <protection locked="0"/>
    </xf>
    <xf numFmtId="0" fontId="8" fillId="4" borderId="15" xfId="0" applyFont="1" applyFill="1" applyBorder="1" applyAlignment="1">
      <alignment horizontal="center" vertical="center"/>
    </xf>
    <xf numFmtId="4" fontId="7" fillId="5" borderId="18" xfId="0" quotePrefix="1" applyNumberFormat="1" applyFont="1" applyFill="1" applyBorder="1" applyAlignment="1" applyProtection="1">
      <alignment horizontal="center" vertical="center"/>
      <protection locked="0"/>
    </xf>
    <xf numFmtId="0" fontId="3" fillId="0" borderId="19" xfId="0" applyFont="1" applyBorder="1" applyAlignment="1">
      <alignment vertical="center"/>
    </xf>
    <xf numFmtId="0" fontId="3" fillId="0" borderId="19" xfId="0" applyFont="1" applyBorder="1" applyAlignment="1">
      <alignment horizontal="right" vertical="center"/>
    </xf>
    <xf numFmtId="2" fontId="7" fillId="6" borderId="14" xfId="0" applyNumberFormat="1" applyFont="1" applyFill="1" applyBorder="1" applyAlignment="1" applyProtection="1">
      <alignment horizontal="center" vertical="center"/>
      <protection locked="0"/>
    </xf>
    <xf numFmtId="0" fontId="0" fillId="0" borderId="2" xfId="0" applyBorder="1" applyAlignment="1">
      <alignment horizontal="center"/>
    </xf>
    <xf numFmtId="3" fontId="2" fillId="6" borderId="4" xfId="0" applyNumberFormat="1" applyFont="1" applyFill="1" applyBorder="1" applyAlignment="1">
      <alignment horizontal="center"/>
    </xf>
    <xf numFmtId="3" fontId="2" fillId="0" borderId="4" xfId="0" applyNumberFormat="1" applyFont="1" applyBorder="1" applyAlignment="1">
      <alignment horizontal="center"/>
    </xf>
    <xf numFmtId="166" fontId="2" fillId="3" borderId="3" xfId="2" applyNumberFormat="1" applyFont="1" applyFill="1" applyBorder="1" applyAlignment="1">
      <alignment horizontal="center" vertical="center"/>
    </xf>
    <xf numFmtId="3" fontId="7" fillId="5" borderId="25" xfId="0" applyNumberFormat="1" applyFont="1" applyFill="1" applyBorder="1" applyAlignment="1" applyProtection="1">
      <alignment horizontal="center" vertical="center"/>
      <protection locked="0"/>
    </xf>
    <xf numFmtId="0" fontId="8" fillId="4" borderId="26" xfId="0" applyFont="1" applyFill="1" applyBorder="1" applyAlignment="1">
      <alignment horizontal="center" vertical="center"/>
    </xf>
    <xf numFmtId="4" fontId="7" fillId="5" borderId="27" xfId="0" quotePrefix="1" applyNumberFormat="1" applyFont="1" applyFill="1" applyBorder="1" applyAlignment="1" applyProtection="1">
      <alignment horizontal="center" vertical="center"/>
      <protection locked="0"/>
    </xf>
    <xf numFmtId="0" fontId="3" fillId="0" borderId="28" xfId="0" applyFont="1" applyBorder="1" applyAlignment="1">
      <alignment vertical="center"/>
    </xf>
    <xf numFmtId="4" fontId="7" fillId="5" borderId="29" xfId="0" applyNumberFormat="1" applyFont="1" applyFill="1" applyBorder="1" applyAlignment="1" applyProtection="1">
      <alignment horizontal="center" vertical="center"/>
      <protection locked="0"/>
    </xf>
    <xf numFmtId="1" fontId="0" fillId="5" borderId="21" xfId="0" applyNumberFormat="1" applyFill="1" applyBorder="1"/>
    <xf numFmtId="0" fontId="3" fillId="0" borderId="30" xfId="0" applyFont="1" applyBorder="1" applyAlignment="1">
      <alignment horizontal="center" vertical="center"/>
    </xf>
    <xf numFmtId="167" fontId="0" fillId="6" borderId="11" xfId="3" applyNumberFormat="1" applyFont="1" applyFill="1" applyBorder="1" applyProtection="1">
      <protection locked="0"/>
    </xf>
    <xf numFmtId="166" fontId="0" fillId="2" borderId="13" xfId="2" applyNumberFormat="1" applyFont="1" applyFill="1" applyBorder="1"/>
    <xf numFmtId="3" fontId="13" fillId="5" borderId="29" xfId="0" applyNumberFormat="1" applyFont="1" applyFill="1" applyBorder="1" applyAlignment="1" applyProtection="1">
      <alignment horizontal="center" vertical="center"/>
      <protection locked="0"/>
    </xf>
    <xf numFmtId="0" fontId="8" fillId="4" borderId="23" xfId="0" applyFont="1" applyFill="1" applyBorder="1" applyAlignment="1">
      <alignment horizontal="center" vertical="center"/>
    </xf>
    <xf numFmtId="0" fontId="3" fillId="0" borderId="31" xfId="0" applyFont="1" applyBorder="1" applyAlignment="1">
      <alignment vertical="center"/>
    </xf>
    <xf numFmtId="0" fontId="3" fillId="0" borderId="31" xfId="0" applyFont="1" applyBorder="1" applyAlignment="1">
      <alignment horizontal="right" vertical="center"/>
    </xf>
    <xf numFmtId="2" fontId="7" fillId="6" borderId="21" xfId="0" applyNumberFormat="1" applyFont="1" applyFill="1" applyBorder="1" applyAlignment="1" applyProtection="1">
      <alignment horizontal="center" vertical="center"/>
      <protection locked="0"/>
    </xf>
    <xf numFmtId="4" fontId="14" fillId="5" borderId="32" xfId="0" quotePrefix="1" applyNumberFormat="1" applyFont="1" applyFill="1" applyBorder="1" applyAlignment="1" applyProtection="1">
      <alignment horizontal="center" vertical="center"/>
      <protection locked="0"/>
    </xf>
    <xf numFmtId="0" fontId="15" fillId="4" borderId="31" xfId="0" applyFont="1" applyFill="1" applyBorder="1" applyAlignment="1">
      <alignment horizontal="right" vertical="top" wrapText="1"/>
    </xf>
    <xf numFmtId="4" fontId="14" fillId="5" borderId="29" xfId="0" quotePrefix="1" applyNumberFormat="1" applyFont="1" applyFill="1" applyBorder="1" applyAlignment="1" applyProtection="1">
      <alignment horizontal="center" vertical="center"/>
      <protection locked="0"/>
    </xf>
    <xf numFmtId="0" fontId="3" fillId="7" borderId="30" xfId="0" applyFont="1" applyFill="1" applyBorder="1" applyAlignment="1">
      <alignment horizontal="center" vertical="center"/>
    </xf>
    <xf numFmtId="3" fontId="7" fillId="5" borderId="33" xfId="0" applyNumberFormat="1" applyFont="1" applyFill="1" applyBorder="1" applyAlignment="1" applyProtection="1">
      <alignment horizontal="center" vertical="center"/>
      <protection locked="0"/>
    </xf>
    <xf numFmtId="0" fontId="8" fillId="4" borderId="17" xfId="0" applyFont="1" applyFill="1" applyBorder="1" applyAlignment="1">
      <alignment horizontal="center" vertical="center"/>
    </xf>
    <xf numFmtId="4" fontId="7" fillId="5" borderId="29" xfId="0" quotePrefix="1" applyNumberFormat="1" applyFont="1" applyFill="1" applyBorder="1" applyAlignment="1" applyProtection="1">
      <alignment horizontal="center" vertical="center"/>
      <protection locked="0"/>
    </xf>
    <xf numFmtId="3" fontId="7" fillId="3" borderId="36" xfId="0" applyNumberFormat="1" applyFont="1" applyFill="1" applyBorder="1" applyAlignment="1" applyProtection="1">
      <alignment horizontal="center" vertical="center"/>
      <protection locked="0"/>
    </xf>
    <xf numFmtId="0" fontId="8" fillId="4" borderId="34" xfId="0" applyFont="1" applyFill="1" applyBorder="1" applyAlignment="1">
      <alignment horizontal="center" vertical="center"/>
    </xf>
    <xf numFmtId="4" fontId="7" fillId="5" borderId="9" xfId="0" quotePrefix="1" applyNumberFormat="1" applyFont="1" applyFill="1" applyBorder="1" applyAlignment="1" applyProtection="1">
      <alignment horizontal="center" vertical="center"/>
      <protection locked="0"/>
    </xf>
    <xf numFmtId="0" fontId="15" fillId="4" borderId="1" xfId="0" applyFont="1" applyFill="1" applyBorder="1" applyAlignment="1">
      <alignment horizontal="right" vertical="top" wrapText="1"/>
    </xf>
    <xf numFmtId="167" fontId="0" fillId="6" borderId="11" xfId="0" applyNumberFormat="1" applyFill="1" applyBorder="1" applyProtection="1">
      <protection locked="0"/>
    </xf>
    <xf numFmtId="0" fontId="0" fillId="4" borderId="10" xfId="0" applyFill="1" applyBorder="1" applyAlignment="1">
      <alignment vertical="center"/>
    </xf>
    <xf numFmtId="0" fontId="0" fillId="4" borderId="0" xfId="0" applyFill="1"/>
    <xf numFmtId="0" fontId="7" fillId="4" borderId="3" xfId="0" applyFont="1" applyFill="1" applyBorder="1" applyAlignment="1">
      <alignment vertical="center"/>
    </xf>
    <xf numFmtId="3" fontId="19" fillId="3" borderId="5" xfId="0" applyNumberFormat="1" applyFont="1" applyFill="1" applyBorder="1" applyAlignment="1">
      <alignment horizontal="center" vertical="center"/>
    </xf>
    <xf numFmtId="0" fontId="20" fillId="3" borderId="3" xfId="0" applyFont="1" applyFill="1" applyBorder="1" applyAlignment="1">
      <alignment horizontal="center" vertical="center"/>
    </xf>
    <xf numFmtId="167" fontId="21" fillId="3" borderId="2" xfId="0" applyNumberFormat="1" applyFont="1" applyFill="1" applyBorder="1" applyAlignment="1">
      <alignment vertical="center"/>
    </xf>
    <xf numFmtId="0" fontId="19" fillId="3" borderId="10" xfId="0" applyFont="1" applyFill="1" applyBorder="1" applyAlignment="1">
      <alignment vertical="center"/>
    </xf>
    <xf numFmtId="0" fontId="19" fillId="3" borderId="0" xfId="0" applyFont="1" applyFill="1"/>
    <xf numFmtId="0" fontId="22" fillId="3" borderId="0" xfId="0" applyFont="1" applyFill="1" applyAlignment="1">
      <alignment vertical="center" wrapText="1"/>
    </xf>
    <xf numFmtId="0" fontId="22" fillId="3" borderId="0" xfId="0" applyFont="1" applyFill="1" applyAlignment="1">
      <alignment horizontal="right" vertical="center"/>
    </xf>
    <xf numFmtId="0" fontId="19" fillId="3" borderId="0" xfId="0" applyFont="1" applyFill="1" applyAlignment="1">
      <alignment vertical="center"/>
    </xf>
    <xf numFmtId="3" fontId="19" fillId="3" borderId="0" xfId="0" applyNumberFormat="1" applyFont="1" applyFill="1" applyAlignment="1">
      <alignment horizontal="center" vertical="center"/>
    </xf>
    <xf numFmtId="0" fontId="23" fillId="3" borderId="0" xfId="0" applyFont="1" applyFill="1" applyAlignment="1">
      <alignment horizontal="left" vertical="center"/>
    </xf>
    <xf numFmtId="3" fontId="21" fillId="3" borderId="0" xfId="0" applyNumberFormat="1" applyFont="1" applyFill="1" applyAlignment="1">
      <alignment horizontal="left" vertical="center"/>
    </xf>
    <xf numFmtId="0" fontId="24" fillId="3" borderId="13" xfId="0" applyFont="1" applyFill="1" applyBorder="1" applyAlignment="1">
      <alignment vertical="center"/>
    </xf>
    <xf numFmtId="0" fontId="7" fillId="8" borderId="0" xfId="0" applyFont="1" applyFill="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7" fillId="0" borderId="0" xfId="0" applyFont="1" applyAlignment="1">
      <alignment vertical="center"/>
    </xf>
    <xf numFmtId="3" fontId="0" fillId="0" borderId="0" xfId="0" applyNumberFormat="1" applyAlignment="1">
      <alignment horizontal="center" vertical="center"/>
    </xf>
    <xf numFmtId="0" fontId="18" fillId="0" borderId="0" xfId="0" applyFont="1" applyAlignment="1">
      <alignment vertical="center" wrapText="1"/>
    </xf>
    <xf numFmtId="3" fontId="25" fillId="0" borderId="0" xfId="0" applyNumberFormat="1" applyFont="1" applyAlignment="1">
      <alignment horizontal="center" vertical="center"/>
    </xf>
    <xf numFmtId="0" fontId="18" fillId="0" borderId="13" xfId="0" applyFont="1" applyBorder="1" applyAlignment="1">
      <alignment vertical="center"/>
    </xf>
    <xf numFmtId="169" fontId="26" fillId="6" borderId="8" xfId="2" applyNumberFormat="1" applyFont="1" applyFill="1" applyBorder="1" applyAlignment="1" applyProtection="1">
      <alignment horizontal="center" vertical="center"/>
    </xf>
    <xf numFmtId="0" fontId="2" fillId="0" borderId="4" xfId="0" applyFont="1" applyBorder="1" applyAlignment="1">
      <alignment horizontal="center" vertical="center"/>
    </xf>
    <xf numFmtId="166" fontId="27" fillId="2" borderId="4" xfId="2" applyNumberFormat="1" applyFont="1" applyFill="1" applyBorder="1" applyAlignment="1">
      <alignment horizontal="center" vertical="center"/>
    </xf>
    <xf numFmtId="166" fontId="2" fillId="2" borderId="3" xfId="2" applyNumberFormat="1" applyFont="1" applyFill="1" applyBorder="1" applyAlignment="1">
      <alignment vertical="center"/>
    </xf>
    <xf numFmtId="0" fontId="3" fillId="0" borderId="37" xfId="0" applyFont="1" applyBorder="1" applyAlignment="1">
      <alignment vertical="center" wrapText="1"/>
    </xf>
    <xf numFmtId="0" fontId="29" fillId="5" borderId="7" xfId="0" applyFont="1" applyFill="1" applyBorder="1" applyAlignment="1" applyProtection="1">
      <alignment horizontal="center" vertical="center" wrapText="1"/>
      <protection locked="0"/>
    </xf>
    <xf numFmtId="0" fontId="18" fillId="6" borderId="37" xfId="0" applyFont="1" applyFill="1" applyBorder="1" applyAlignment="1">
      <alignment horizontal="left" vertical="center" wrapText="1"/>
    </xf>
    <xf numFmtId="0" fontId="7" fillId="6" borderId="38" xfId="0" applyFont="1" applyFill="1" applyBorder="1" applyAlignment="1" applyProtection="1">
      <alignment horizontal="center" vertical="center"/>
      <protection locked="0"/>
    </xf>
    <xf numFmtId="0" fontId="18" fillId="6" borderId="15" xfId="0" applyFont="1" applyFill="1" applyBorder="1" applyAlignment="1">
      <alignment horizontal="left" vertical="center" wrapText="1"/>
    </xf>
    <xf numFmtId="0" fontId="3" fillId="0" borderId="26" xfId="0" applyFont="1" applyBorder="1" applyAlignment="1">
      <alignment vertical="center" wrapText="1"/>
    </xf>
    <xf numFmtId="0" fontId="7" fillId="5" borderId="27" xfId="0" applyFont="1" applyFill="1" applyBorder="1" applyAlignment="1" applyProtection="1">
      <alignment horizontal="center" vertical="center"/>
      <protection locked="0"/>
    </xf>
    <xf numFmtId="0" fontId="18" fillId="6" borderId="23" xfId="0" applyFont="1" applyFill="1" applyBorder="1" applyAlignment="1">
      <alignment horizontal="left" vertical="center" wrapText="1"/>
    </xf>
    <xf numFmtId="3" fontId="25" fillId="6" borderId="39" xfId="0" applyNumberFormat="1" applyFont="1" applyFill="1" applyBorder="1" applyAlignment="1">
      <alignment horizontal="center" vertical="center"/>
    </xf>
    <xf numFmtId="43" fontId="31" fillId="5" borderId="14" xfId="1" applyFont="1" applyFill="1" applyBorder="1" applyAlignment="1" applyProtection="1">
      <alignment horizontal="center" vertical="center"/>
      <protection locked="0"/>
    </xf>
    <xf numFmtId="169" fontId="24" fillId="9" borderId="14" xfId="2" applyNumberFormat="1" applyFont="1" applyFill="1" applyBorder="1" applyAlignment="1" applyProtection="1">
      <alignment horizontal="center" vertical="center" wrapText="1"/>
    </xf>
    <xf numFmtId="170" fontId="2" fillId="5" borderId="3" xfId="1" applyNumberFormat="1" applyFont="1" applyFill="1" applyBorder="1" applyAlignment="1">
      <alignment vertical="center" wrapText="1"/>
    </xf>
    <xf numFmtId="170" fontId="2" fillId="9" borderId="3" xfId="1" applyNumberFormat="1" applyFont="1" applyFill="1" applyBorder="1" applyAlignment="1">
      <alignment horizontal="center" vertical="center" wrapText="1"/>
    </xf>
    <xf numFmtId="0" fontId="3" fillId="0" borderId="0" xfId="0" applyFont="1"/>
    <xf numFmtId="0" fontId="3" fillId="0" borderId="23" xfId="0" applyFont="1" applyBorder="1" applyAlignment="1">
      <alignment vertical="center"/>
    </xf>
    <xf numFmtId="0" fontId="18" fillId="6" borderId="41" xfId="0" applyFont="1" applyFill="1" applyBorder="1" applyAlignment="1">
      <alignment horizontal="left" vertical="center" wrapText="1"/>
    </xf>
    <xf numFmtId="3" fontId="25" fillId="6" borderId="42" xfId="0" applyNumberFormat="1" applyFont="1" applyFill="1" applyBorder="1" applyAlignment="1">
      <alignment horizontal="center" vertical="center"/>
    </xf>
    <xf numFmtId="10" fontId="31" fillId="3" borderId="43" xfId="3" applyNumberFormat="1" applyFont="1" applyFill="1" applyBorder="1" applyAlignment="1" applyProtection="1">
      <alignment horizontal="center" vertical="center"/>
      <protection locked="0"/>
    </xf>
    <xf numFmtId="169" fontId="32" fillId="3" borderId="4" xfId="2" applyNumberFormat="1" applyFont="1" applyFill="1" applyBorder="1" applyAlignment="1" applyProtection="1">
      <alignment horizontal="center" vertical="center" wrapText="1"/>
    </xf>
    <xf numFmtId="167" fontId="31" fillId="3" borderId="4" xfId="0" applyNumberFormat="1" applyFont="1" applyFill="1" applyBorder="1" applyAlignment="1">
      <alignment horizontal="center" vertical="center"/>
    </xf>
    <xf numFmtId="167" fontId="24" fillId="3" borderId="40" xfId="0" quotePrefix="1" applyNumberFormat="1" applyFont="1" applyFill="1" applyBorder="1" applyAlignment="1">
      <alignment horizontal="center" vertical="center" wrapText="1"/>
    </xf>
    <xf numFmtId="0" fontId="3" fillId="0" borderId="23" xfId="0" applyFont="1" applyBorder="1" applyAlignment="1">
      <alignment vertical="center" wrapText="1"/>
    </xf>
    <xf numFmtId="10" fontId="31" fillId="5" borderId="14" xfId="0" applyNumberFormat="1" applyFont="1" applyFill="1" applyBorder="1" applyAlignment="1" applyProtection="1">
      <alignment horizontal="center" vertical="center"/>
      <protection locked="0"/>
    </xf>
    <xf numFmtId="169" fontId="32" fillId="9" borderId="14" xfId="2" applyNumberFormat="1" applyFont="1" applyFill="1" applyBorder="1" applyAlignment="1" applyProtection="1">
      <alignment horizontal="center" vertical="center" wrapText="1"/>
    </xf>
    <xf numFmtId="167" fontId="10" fillId="4" borderId="43" xfId="0" applyNumberFormat="1" applyFont="1" applyFill="1" applyBorder="1" applyAlignment="1">
      <alignment horizontal="center" vertical="center" wrapText="1"/>
    </xf>
    <xf numFmtId="171" fontId="1" fillId="4" borderId="3" xfId="3" applyNumberFormat="1" applyFont="1" applyFill="1" applyBorder="1" applyAlignment="1">
      <alignment vertical="center" wrapText="1"/>
    </xf>
    <xf numFmtId="0" fontId="0" fillId="0" borderId="0" xfId="0" applyAlignment="1">
      <alignment horizontal="center" vertical="center"/>
    </xf>
    <xf numFmtId="0" fontId="7" fillId="5" borderId="44" xfId="0" applyFont="1" applyFill="1" applyBorder="1" applyAlignment="1" applyProtection="1">
      <alignment horizontal="center" vertical="center"/>
      <protection locked="0"/>
    </xf>
    <xf numFmtId="0" fontId="18" fillId="6" borderId="26" xfId="0" applyFont="1" applyFill="1" applyBorder="1" applyAlignment="1">
      <alignment vertical="center" wrapText="1"/>
    </xf>
    <xf numFmtId="168" fontId="2" fillId="2" borderId="34" xfId="3" applyNumberFormat="1" applyFont="1" applyFill="1" applyBorder="1" applyAlignment="1" applyProtection="1">
      <alignment horizontal="center" vertical="center"/>
    </xf>
    <xf numFmtId="0" fontId="11" fillId="2" borderId="45" xfId="0" applyFont="1" applyFill="1" applyBorder="1" applyAlignment="1">
      <alignment horizontal="center" vertical="center" wrapText="1"/>
    </xf>
    <xf numFmtId="166" fontId="2" fillId="2" borderId="45" xfId="2" applyNumberFormat="1" applyFont="1" applyFill="1" applyBorder="1" applyAlignment="1">
      <alignment vertical="center"/>
    </xf>
    <xf numFmtId="167" fontId="10" fillId="2" borderId="35" xfId="0" quotePrefix="1" applyNumberFormat="1" applyFont="1" applyFill="1" applyBorder="1" applyAlignment="1">
      <alignment horizontal="center" vertical="center" wrapText="1"/>
    </xf>
    <xf numFmtId="0" fontId="18" fillId="6" borderId="47" xfId="0" applyFont="1" applyFill="1" applyBorder="1" applyAlignment="1">
      <alignment horizontal="right" vertical="center" wrapText="1"/>
    </xf>
    <xf numFmtId="3" fontId="25" fillId="6" borderId="48" xfId="0" applyNumberFormat="1" applyFont="1" applyFill="1" applyBorder="1" applyAlignment="1">
      <alignment horizontal="center" vertical="center"/>
    </xf>
    <xf numFmtId="0" fontId="33" fillId="0" borderId="15" xfId="0" applyFont="1" applyBorder="1" applyAlignment="1">
      <alignment vertical="center" wrapText="1"/>
    </xf>
    <xf numFmtId="0" fontId="7" fillId="5" borderId="18" xfId="0" applyFont="1" applyFill="1" applyBorder="1" applyAlignment="1" applyProtection="1">
      <alignment horizontal="center" vertical="center"/>
      <protection locked="0"/>
    </xf>
    <xf numFmtId="0" fontId="18" fillId="6" borderId="15" xfId="0" applyFont="1" applyFill="1" applyBorder="1" applyAlignment="1">
      <alignment vertical="center" wrapText="1"/>
    </xf>
    <xf numFmtId="3" fontId="25" fillId="6" borderId="49" xfId="0" applyNumberFormat="1" applyFont="1" applyFill="1" applyBorder="1" applyAlignment="1">
      <alignment horizontal="center" vertical="center"/>
    </xf>
    <xf numFmtId="1" fontId="6" fillId="7" borderId="50" xfId="0" applyNumberFormat="1" applyFont="1" applyFill="1" applyBorder="1" applyAlignment="1">
      <alignment horizontal="center" vertical="center" wrapText="1"/>
    </xf>
    <xf numFmtId="0" fontId="18" fillId="6" borderId="23" xfId="0" applyFont="1" applyFill="1" applyBorder="1" applyAlignment="1">
      <alignment vertical="center" wrapText="1"/>
    </xf>
    <xf numFmtId="1" fontId="0" fillId="7" borderId="50" xfId="0" applyNumberFormat="1" applyFill="1" applyBorder="1" applyAlignment="1">
      <alignment horizontal="center" vertical="center"/>
    </xf>
    <xf numFmtId="0" fontId="6" fillId="4" borderId="53" xfId="0" applyFont="1" applyFill="1" applyBorder="1" applyAlignment="1">
      <alignment vertical="center"/>
    </xf>
    <xf numFmtId="166" fontId="0" fillId="4" borderId="0" xfId="0" applyNumberFormat="1" applyFill="1"/>
    <xf numFmtId="169" fontId="0" fillId="4" borderId="0" xfId="0" applyNumberFormat="1" applyFill="1"/>
    <xf numFmtId="3" fontId="30" fillId="0" borderId="33" xfId="0" applyNumberFormat="1" applyFont="1" applyBorder="1" applyAlignment="1">
      <alignment horizontal="center" vertical="center"/>
    </xf>
    <xf numFmtId="0" fontId="3" fillId="0" borderId="54" xfId="0" applyFont="1" applyBorder="1" applyAlignment="1">
      <alignment horizontal="left" vertical="center" wrapText="1"/>
    </xf>
    <xf numFmtId="0" fontId="7" fillId="5" borderId="16" xfId="0" applyFont="1" applyFill="1" applyBorder="1" applyAlignment="1" applyProtection="1">
      <alignment horizontal="center" vertical="center"/>
      <protection locked="0"/>
    </xf>
    <xf numFmtId="3" fontId="25" fillId="6" borderId="54" xfId="0" applyNumberFormat="1" applyFont="1" applyFill="1" applyBorder="1" applyAlignment="1">
      <alignment horizontal="center" vertical="center"/>
    </xf>
    <xf numFmtId="0" fontId="3" fillId="4" borderId="0" xfId="0" applyFont="1" applyFill="1" applyAlignment="1">
      <alignment vertical="center" wrapText="1"/>
    </xf>
    <xf numFmtId="0" fontId="3" fillId="0" borderId="50" xfId="0" applyFont="1" applyBorder="1" applyAlignment="1">
      <alignment horizontal="left" vertical="center" wrapText="1"/>
    </xf>
    <xf numFmtId="3" fontId="25" fillId="6" borderId="50" xfId="0" applyNumberFormat="1" applyFont="1" applyFill="1" applyBorder="1" applyAlignment="1">
      <alignment horizontal="center" vertical="center"/>
    </xf>
    <xf numFmtId="0" fontId="28" fillId="0" borderId="47" xfId="0" applyFont="1" applyBorder="1" applyAlignment="1">
      <alignment horizontal="center" vertical="center" textRotation="90" wrapText="1"/>
    </xf>
    <xf numFmtId="0" fontId="3" fillId="0" borderId="45" xfId="0" applyFont="1" applyBorder="1" applyAlignment="1">
      <alignment horizontal="left" vertical="center" wrapText="1"/>
    </xf>
    <xf numFmtId="3" fontId="25" fillId="6" borderId="56" xfId="0" applyNumberFormat="1" applyFont="1" applyFill="1" applyBorder="1" applyAlignment="1">
      <alignment horizontal="center" vertical="center"/>
    </xf>
    <xf numFmtId="0" fontId="0" fillId="6" borderId="1" xfId="0" applyFill="1" applyBorder="1"/>
    <xf numFmtId="0" fontId="18" fillId="6" borderId="9" xfId="0" applyFont="1" applyFill="1" applyBorder="1" applyAlignment="1">
      <alignment vertical="center"/>
    </xf>
    <xf numFmtId="0" fontId="0" fillId="4" borderId="0" xfId="0" applyFill="1" applyAlignment="1">
      <alignment horizontal="center" vertical="center"/>
    </xf>
    <xf numFmtId="0" fontId="0" fillId="4" borderId="0" xfId="0" quotePrefix="1" applyFill="1"/>
    <xf numFmtId="0" fontId="3" fillId="0" borderId="56" xfId="0" applyFont="1" applyBorder="1" applyAlignment="1">
      <alignment horizontal="left" vertical="center" wrapText="1"/>
    </xf>
    <xf numFmtId="0" fontId="7" fillId="5" borderId="1" xfId="0" applyFont="1" applyFill="1" applyBorder="1" applyAlignment="1" applyProtection="1">
      <alignment horizontal="center" vertical="center"/>
      <protection locked="0"/>
    </xf>
    <xf numFmtId="0" fontId="28" fillId="0" borderId="2" xfId="0" applyFont="1" applyBorder="1" applyAlignment="1">
      <alignment horizontal="center" vertical="center" textRotation="90" wrapText="1"/>
    </xf>
    <xf numFmtId="0" fontId="3" fillId="0" borderId="4" xfId="0" applyFont="1" applyBorder="1" applyAlignment="1">
      <alignment horizontal="left" vertical="center" wrapText="1"/>
    </xf>
    <xf numFmtId="0" fontId="7" fillId="5" borderId="3" xfId="0" applyFont="1" applyFill="1" applyBorder="1" applyAlignment="1" applyProtection="1">
      <alignment horizontal="center" vertical="center"/>
      <protection locked="0"/>
    </xf>
    <xf numFmtId="3" fontId="30" fillId="0" borderId="36" xfId="0" applyNumberFormat="1" applyFont="1" applyBorder="1" applyAlignment="1">
      <alignment horizontal="center" vertical="center"/>
    </xf>
    <xf numFmtId="0" fontId="18" fillId="6" borderId="43" xfId="0" applyFont="1" applyFill="1" applyBorder="1" applyAlignment="1">
      <alignment horizontal="right" vertical="center" wrapText="1"/>
    </xf>
    <xf numFmtId="3" fontId="25" fillId="6" borderId="4" xfId="0" applyNumberFormat="1" applyFont="1" applyFill="1" applyBorder="1" applyAlignment="1">
      <alignment horizontal="center" vertical="center"/>
    </xf>
    <xf numFmtId="0" fontId="28" fillId="0" borderId="43" xfId="0" applyFont="1" applyBorder="1" applyAlignment="1">
      <alignment vertical="center" textRotation="90" wrapText="1"/>
    </xf>
    <xf numFmtId="0" fontId="3" fillId="0" borderId="58" xfId="0" applyFont="1" applyBorder="1" applyAlignment="1">
      <alignment horizontal="left" vertical="center" wrapText="1"/>
    </xf>
    <xf numFmtId="0" fontId="7" fillId="5" borderId="40" xfId="0" applyFont="1" applyFill="1" applyBorder="1" applyAlignment="1" applyProtection="1">
      <alignment horizontal="center" vertical="center"/>
      <protection locked="0"/>
    </xf>
    <xf numFmtId="3" fontId="30" fillId="0" borderId="2" xfId="0" applyNumberFormat="1" applyFont="1" applyBorder="1" applyAlignment="1">
      <alignment horizontal="center" vertical="center"/>
    </xf>
    <xf numFmtId="0" fontId="18" fillId="6" borderId="43" xfId="0" applyFont="1" applyFill="1" applyBorder="1" applyAlignment="1">
      <alignment vertical="center" wrapText="1"/>
    </xf>
    <xf numFmtId="0" fontId="3" fillId="4" borderId="0" xfId="0" applyFont="1" applyFill="1" applyAlignment="1">
      <alignment horizontal="right" vertical="center"/>
    </xf>
    <xf numFmtId="0" fontId="7" fillId="4" borderId="0" xfId="0" applyFont="1" applyFill="1" applyAlignment="1" applyProtection="1">
      <alignment horizontal="center" vertical="center"/>
      <protection locked="0"/>
    </xf>
    <xf numFmtId="0" fontId="30" fillId="4" borderId="0" xfId="0" applyFont="1" applyFill="1" applyAlignment="1">
      <alignment vertical="center"/>
    </xf>
    <xf numFmtId="0" fontId="28" fillId="4" borderId="0" xfId="0" applyFont="1" applyFill="1" applyAlignment="1">
      <alignment vertical="center"/>
    </xf>
    <xf numFmtId="0" fontId="28" fillId="4" borderId="13" xfId="0" applyFont="1" applyFill="1" applyBorder="1" applyAlignment="1">
      <alignment vertical="center"/>
    </xf>
    <xf numFmtId="0" fontId="38" fillId="3" borderId="0" xfId="0" applyFont="1" applyFill="1" applyAlignment="1">
      <alignment horizontal="left" vertical="center"/>
    </xf>
    <xf numFmtId="3" fontId="21" fillId="3" borderId="0" xfId="0" applyNumberFormat="1" applyFont="1" applyFill="1" applyAlignment="1">
      <alignment horizontal="center" vertical="center"/>
    </xf>
    <xf numFmtId="0" fontId="3" fillId="0" borderId="15" xfId="0" applyFont="1" applyBorder="1" applyAlignment="1">
      <alignment horizontal="left" vertical="center" wrapText="1"/>
    </xf>
    <xf numFmtId="0" fontId="3" fillId="0" borderId="26" xfId="0" applyFont="1" applyBorder="1" applyAlignment="1">
      <alignment horizontal="left" vertical="center" wrapText="1"/>
    </xf>
    <xf numFmtId="0" fontId="7" fillId="5" borderId="28" xfId="0" applyFont="1" applyFill="1" applyBorder="1" applyAlignment="1" applyProtection="1">
      <alignment horizontal="center" vertical="center"/>
      <protection locked="0"/>
    </xf>
    <xf numFmtId="3" fontId="25" fillId="6" borderId="12" xfId="0" applyNumberFormat="1" applyFont="1" applyFill="1" applyBorder="1" applyAlignment="1">
      <alignment horizontal="center" vertical="center"/>
    </xf>
    <xf numFmtId="0" fontId="3" fillId="0" borderId="23" xfId="0" applyFont="1" applyBorder="1" applyAlignment="1">
      <alignment horizontal="left" vertical="center" wrapText="1"/>
    </xf>
    <xf numFmtId="0" fontId="7" fillId="5" borderId="31" xfId="0" applyFont="1" applyFill="1" applyBorder="1" applyAlignment="1" applyProtection="1">
      <alignment horizontal="center" vertical="center"/>
      <protection locked="0"/>
    </xf>
    <xf numFmtId="3" fontId="25" fillId="6" borderId="62" xfId="0" applyNumberFormat="1" applyFont="1" applyFill="1" applyBorder="1" applyAlignment="1">
      <alignment horizontal="center" vertical="center"/>
    </xf>
    <xf numFmtId="0" fontId="28" fillId="0" borderId="8" xfId="0" applyFont="1" applyBorder="1" applyAlignment="1">
      <alignment horizontal="center" vertical="center" textRotation="90"/>
    </xf>
    <xf numFmtId="0" fontId="35" fillId="0" borderId="47" xfId="0" applyFont="1" applyBorder="1" applyAlignment="1">
      <alignment horizontal="left" vertical="center" wrapText="1"/>
    </xf>
    <xf numFmtId="0" fontId="7" fillId="5" borderId="64" xfId="0" applyFont="1" applyFill="1" applyBorder="1" applyAlignment="1" applyProtection="1">
      <alignment horizontal="center" vertical="center"/>
      <protection locked="0"/>
    </xf>
    <xf numFmtId="0" fontId="18" fillId="6" borderId="47" xfId="0" applyFont="1" applyFill="1" applyBorder="1" applyAlignment="1">
      <alignment horizontal="left" vertical="center" wrapText="1"/>
    </xf>
    <xf numFmtId="3" fontId="25" fillId="6" borderId="45" xfId="0" applyNumberFormat="1" applyFont="1" applyFill="1" applyBorder="1" applyAlignment="1">
      <alignment horizontal="center" vertical="center"/>
    </xf>
    <xf numFmtId="0" fontId="3" fillId="0" borderId="65" xfId="0" applyFont="1" applyBorder="1" applyAlignment="1">
      <alignment horizontal="left" vertical="center" wrapText="1"/>
    </xf>
    <xf numFmtId="0" fontId="18" fillId="6" borderId="66" xfId="0" applyFont="1" applyFill="1" applyBorder="1" applyAlignment="1">
      <alignment horizontal="center" vertical="center" wrapText="1"/>
    </xf>
    <xf numFmtId="0" fontId="3" fillId="0" borderId="50" xfId="0" applyFont="1" applyBorder="1" applyAlignment="1">
      <alignment vertical="center" wrapText="1"/>
    </xf>
    <xf numFmtId="0" fontId="3" fillId="0" borderId="53" xfId="0" applyFont="1" applyBorder="1" applyAlignment="1">
      <alignment vertical="center" wrapText="1"/>
    </xf>
    <xf numFmtId="0" fontId="3" fillId="0" borderId="67" xfId="0" applyFont="1" applyBorder="1" applyAlignment="1">
      <alignment vertical="center" wrapText="1"/>
    </xf>
    <xf numFmtId="0" fontId="18" fillId="6" borderId="34" xfId="0" applyFont="1" applyFill="1" applyBorder="1" applyAlignment="1">
      <alignment horizontal="right" vertical="center" wrapText="1"/>
    </xf>
    <xf numFmtId="0" fontId="7" fillId="5" borderId="19" xfId="0" applyFont="1" applyFill="1" applyBorder="1" applyAlignment="1" applyProtection="1">
      <alignment horizontal="center" vertical="center"/>
      <protection locked="0"/>
    </xf>
    <xf numFmtId="0" fontId="7" fillId="5" borderId="39" xfId="0" applyFont="1" applyFill="1" applyBorder="1" applyAlignment="1" applyProtection="1">
      <alignment horizontal="center" vertical="center"/>
      <protection locked="0"/>
    </xf>
    <xf numFmtId="0" fontId="3" fillId="0" borderId="62" xfId="0" applyFont="1" applyBorder="1" applyAlignment="1">
      <alignment horizontal="left" vertical="center" wrapText="1"/>
    </xf>
    <xf numFmtId="3" fontId="30" fillId="0" borderId="57" xfId="0" applyNumberFormat="1" applyFont="1" applyBorder="1" applyAlignment="1">
      <alignment horizontal="center" vertical="center"/>
    </xf>
    <xf numFmtId="0" fontId="7" fillId="5" borderId="49" xfId="0" applyFont="1" applyFill="1" applyBorder="1" applyAlignment="1" applyProtection="1">
      <alignment horizontal="center" vertical="center"/>
      <protection locked="0"/>
    </xf>
    <xf numFmtId="0" fontId="18" fillId="6" borderId="41" xfId="0" applyFont="1" applyFill="1" applyBorder="1" applyAlignment="1">
      <alignment horizontal="right" vertical="center" wrapText="1"/>
    </xf>
    <xf numFmtId="0" fontId="7" fillId="5" borderId="68" xfId="0" applyFont="1" applyFill="1" applyBorder="1" applyAlignment="1" applyProtection="1">
      <alignment horizontal="center" vertical="center"/>
      <protection locked="0"/>
    </xf>
    <xf numFmtId="0" fontId="7" fillId="4" borderId="0" xfId="0" applyFont="1" applyFill="1" applyAlignment="1">
      <alignment vertical="center"/>
    </xf>
    <xf numFmtId="0" fontId="3" fillId="0" borderId="47" xfId="0" applyFont="1" applyBorder="1" applyAlignment="1">
      <alignment horizontal="left" vertical="center" wrapText="1"/>
    </xf>
    <xf numFmtId="0" fontId="7" fillId="5" borderId="9" xfId="0" applyFont="1" applyFill="1" applyBorder="1" applyAlignment="1" applyProtection="1">
      <alignment horizontal="center" vertical="center"/>
      <protection locked="0"/>
    </xf>
    <xf numFmtId="0" fontId="0" fillId="4" borderId="10" xfId="0" applyFill="1" applyBorder="1"/>
    <xf numFmtId="0" fontId="3" fillId="4" borderId="0" xfId="0" applyFont="1" applyFill="1" applyAlignment="1">
      <alignment wrapText="1"/>
    </xf>
    <xf numFmtId="0" fontId="3" fillId="4" borderId="0" xfId="0" applyFont="1" applyFill="1" applyAlignment="1">
      <alignment horizontal="right"/>
    </xf>
    <xf numFmtId="0" fontId="3" fillId="4" borderId="0" xfId="0" applyFont="1" applyFill="1"/>
    <xf numFmtId="0" fontId="3" fillId="4" borderId="13" xfId="0" applyFont="1" applyFill="1" applyBorder="1"/>
    <xf numFmtId="0" fontId="18" fillId="0" borderId="0" xfId="0" applyFont="1" applyAlignment="1">
      <alignment vertical="center"/>
    </xf>
    <xf numFmtId="0" fontId="7" fillId="5" borderId="55" xfId="0" applyFont="1" applyFill="1" applyBorder="1" applyAlignment="1" applyProtection="1">
      <alignment horizontal="center" vertical="center"/>
      <protection locked="0"/>
    </xf>
    <xf numFmtId="0" fontId="18" fillId="6" borderId="15" xfId="0" applyFont="1" applyFill="1" applyBorder="1" applyAlignment="1">
      <alignment horizontal="right" vertical="center" wrapText="1"/>
    </xf>
    <xf numFmtId="0" fontId="28" fillId="0" borderId="43" xfId="0" applyFont="1" applyBorder="1" applyAlignment="1">
      <alignment horizontal="center" vertical="center" textRotation="90" wrapText="1"/>
    </xf>
    <xf numFmtId="0" fontId="7" fillId="5" borderId="5" xfId="0" applyFont="1" applyFill="1" applyBorder="1" applyAlignment="1" applyProtection="1">
      <alignment horizontal="center" vertical="center"/>
      <protection locked="0"/>
    </xf>
    <xf numFmtId="0" fontId="7" fillId="5" borderId="54" xfId="0" applyFont="1" applyFill="1" applyBorder="1" applyAlignment="1" applyProtection="1">
      <alignment horizontal="center" vertical="center"/>
      <protection locked="0"/>
    </xf>
    <xf numFmtId="0" fontId="3" fillId="0" borderId="41" xfId="0" applyFont="1" applyBorder="1" applyAlignment="1">
      <alignment vertical="center" wrapText="1"/>
    </xf>
    <xf numFmtId="0" fontId="7" fillId="5" borderId="62" xfId="0" applyFont="1" applyFill="1" applyBorder="1" applyAlignment="1" applyProtection="1">
      <alignment horizontal="center" vertical="center"/>
      <protection locked="0"/>
    </xf>
    <xf numFmtId="0" fontId="18" fillId="6" borderId="26" xfId="0" applyFont="1" applyFill="1" applyBorder="1" applyAlignment="1">
      <alignment horizontal="right" vertical="center" wrapText="1"/>
    </xf>
    <xf numFmtId="0" fontId="18" fillId="6" borderId="23" xfId="0" applyFont="1" applyFill="1" applyBorder="1" applyAlignment="1">
      <alignment horizontal="right" vertical="center" wrapText="1"/>
    </xf>
    <xf numFmtId="0" fontId="3" fillId="0" borderId="50" xfId="0" applyFont="1" applyBorder="1" applyAlignment="1">
      <alignment horizontal="left" vertical="center"/>
    </xf>
    <xf numFmtId="0" fontId="7" fillId="5" borderId="50" xfId="0" applyFont="1" applyFill="1" applyBorder="1" applyAlignment="1" applyProtection="1">
      <alignment horizontal="center" vertical="center"/>
      <protection locked="0"/>
    </xf>
    <xf numFmtId="0" fontId="3" fillId="0" borderId="50" xfId="0" applyFont="1" applyBorder="1" applyAlignment="1">
      <alignment vertical="center"/>
    </xf>
    <xf numFmtId="172" fontId="25" fillId="6" borderId="50" xfId="0" applyNumberFormat="1" applyFont="1" applyFill="1" applyBorder="1" applyAlignment="1">
      <alignment horizontal="center"/>
    </xf>
    <xf numFmtId="0" fontId="8" fillId="6" borderId="34" xfId="0" applyFont="1" applyFill="1" applyBorder="1" applyAlignment="1">
      <alignment horizontal="right" vertical="center" wrapText="1"/>
    </xf>
    <xf numFmtId="3" fontId="24" fillId="6" borderId="45" xfId="0" applyNumberFormat="1" applyFont="1" applyFill="1" applyBorder="1" applyAlignment="1">
      <alignment horizontal="center" vertical="center" wrapText="1"/>
    </xf>
    <xf numFmtId="0" fontId="3" fillId="0" borderId="15" xfId="0" applyFont="1" applyBorder="1" applyAlignment="1">
      <alignment horizontal="left" wrapText="1"/>
    </xf>
    <xf numFmtId="0" fontId="0" fillId="4" borderId="8" xfId="0" applyFill="1" applyBorder="1"/>
    <xf numFmtId="0" fontId="0" fillId="4" borderId="1" xfId="0" applyFill="1" applyBorder="1"/>
    <xf numFmtId="0" fontId="3" fillId="0" borderId="43" xfId="0" applyFont="1" applyBorder="1" applyAlignment="1">
      <alignment horizontal="left" wrapText="1"/>
    </xf>
    <xf numFmtId="0" fontId="7" fillId="5" borderId="48" xfId="0" applyFont="1" applyFill="1" applyBorder="1" applyAlignment="1" applyProtection="1">
      <alignment horizontal="center" vertical="center"/>
      <protection locked="0"/>
    </xf>
    <xf numFmtId="0" fontId="39" fillId="0" borderId="0" xfId="0" applyFont="1" applyAlignment="1">
      <alignment vertical="center" wrapText="1"/>
    </xf>
    <xf numFmtId="0" fontId="3" fillId="0" borderId="0" xfId="0" applyFont="1" applyAlignment="1">
      <alignment horizontal="right"/>
    </xf>
    <xf numFmtId="0" fontId="12" fillId="0" borderId="28" xfId="0" applyFont="1" applyBorder="1" applyAlignment="1">
      <alignment horizontal="right" vertical="center"/>
    </xf>
    <xf numFmtId="0" fontId="40" fillId="3" borderId="0" xfId="0" applyFont="1" applyFill="1" applyAlignment="1">
      <alignment horizontal="left" vertical="center"/>
    </xf>
    <xf numFmtId="0" fontId="7" fillId="5" borderId="69" xfId="0" applyFont="1" applyFill="1" applyBorder="1" applyAlignment="1" applyProtection="1">
      <alignment horizontal="center" vertical="center"/>
      <protection locked="0"/>
    </xf>
    <xf numFmtId="0" fontId="7" fillId="5" borderId="71" xfId="0" applyFont="1" applyFill="1" applyBorder="1" applyAlignment="1" applyProtection="1">
      <alignment horizontal="center" vertical="center"/>
      <protection locked="0"/>
    </xf>
    <xf numFmtId="0" fontId="9" fillId="0" borderId="14" xfId="0" applyFont="1" applyBorder="1" applyAlignment="1">
      <alignment horizontal="center" vertical="center" wrapText="1"/>
    </xf>
    <xf numFmtId="0" fontId="9" fillId="0" borderId="33" xfId="0" applyFont="1" applyBorder="1" applyAlignment="1">
      <alignment horizontal="center" vertical="center" wrapText="1"/>
    </xf>
    <xf numFmtId="3" fontId="30" fillId="0" borderId="14" xfId="0" applyNumberFormat="1" applyFont="1" applyBorder="1" applyAlignment="1">
      <alignment horizontal="center" vertical="center"/>
    </xf>
    <xf numFmtId="3" fontId="30" fillId="0" borderId="33" xfId="0" applyNumberFormat="1" applyFont="1" applyBorder="1" applyAlignment="1">
      <alignment horizontal="center" vertical="center"/>
    </xf>
    <xf numFmtId="0" fontId="18" fillId="6" borderId="38" xfId="0" applyFont="1" applyFill="1" applyBorder="1" applyAlignment="1">
      <alignment horizontal="left" vertical="center" wrapText="1"/>
    </xf>
    <xf numFmtId="0" fontId="18" fillId="6" borderId="7" xfId="0" applyFont="1" applyFill="1" applyBorder="1" applyAlignment="1">
      <alignment horizontal="left" vertical="center" wrapText="1"/>
    </xf>
    <xf numFmtId="0" fontId="18" fillId="6" borderId="48" xfId="0" applyFont="1" applyFill="1" applyBorder="1" applyAlignment="1">
      <alignment horizontal="left" vertical="center" wrapText="1"/>
    </xf>
    <xf numFmtId="0" fontId="18" fillId="6" borderId="9" xfId="0" applyFont="1" applyFill="1" applyBorder="1" applyAlignment="1">
      <alignment horizontal="left" vertical="center" wrapText="1"/>
    </xf>
    <xf numFmtId="0" fontId="18" fillId="6" borderId="39" xfId="0" applyFont="1" applyFill="1" applyBorder="1" applyAlignment="1">
      <alignment horizontal="left" vertical="center" wrapText="1"/>
    </xf>
    <xf numFmtId="0" fontId="18" fillId="6" borderId="27" xfId="0" applyFont="1" applyFill="1" applyBorder="1" applyAlignment="1">
      <alignment horizontal="left" vertical="center" wrapText="1"/>
    </xf>
    <xf numFmtId="0" fontId="18" fillId="6" borderId="60" xfId="0" applyFont="1" applyFill="1" applyBorder="1" applyAlignment="1">
      <alignment horizontal="left" vertical="center" wrapText="1"/>
    </xf>
    <xf numFmtId="0" fontId="18" fillId="6" borderId="61" xfId="0" applyFont="1" applyFill="1" applyBorder="1" applyAlignment="1">
      <alignment horizontal="left" vertical="center" wrapText="1"/>
    </xf>
    <xf numFmtId="0" fontId="18" fillId="6" borderId="49" xfId="0" applyFont="1" applyFill="1" applyBorder="1" applyAlignment="1">
      <alignment horizontal="center" vertical="center"/>
    </xf>
    <xf numFmtId="0" fontId="18" fillId="6" borderId="44" xfId="0" applyFont="1" applyFill="1" applyBorder="1" applyAlignment="1">
      <alignment horizontal="center" vertical="center"/>
    </xf>
    <xf numFmtId="0" fontId="3" fillId="0" borderId="41" xfId="0" applyFont="1" applyBorder="1" applyAlignment="1">
      <alignment horizontal="center" vertical="center" wrapText="1"/>
    </xf>
    <xf numFmtId="0" fontId="3" fillId="0" borderId="47" xfId="0" applyFont="1" applyBorder="1" applyAlignment="1">
      <alignment horizontal="center" vertical="center" wrapText="1"/>
    </xf>
    <xf numFmtId="0" fontId="0" fillId="6" borderId="1" xfId="0" applyFill="1" applyBorder="1" applyAlignment="1">
      <alignment horizontal="left"/>
    </xf>
    <xf numFmtId="0" fontId="0" fillId="6" borderId="9" xfId="0" applyFill="1" applyBorder="1" applyAlignment="1">
      <alignment horizontal="left"/>
    </xf>
    <xf numFmtId="0" fontId="28" fillId="0" borderId="37" xfId="0" applyFont="1" applyBorder="1" applyAlignment="1">
      <alignment horizontal="center" vertical="center" textRotation="90" wrapText="1"/>
    </xf>
    <xf numFmtId="0" fontId="28" fillId="0" borderId="47" xfId="0" applyFont="1" applyBorder="1" applyAlignment="1">
      <alignment horizontal="center" vertical="center" textRotation="90" wrapText="1"/>
    </xf>
    <xf numFmtId="0" fontId="18" fillId="6" borderId="55" xfId="0" applyFont="1" applyFill="1" applyBorder="1" applyAlignment="1">
      <alignment horizontal="left" vertical="center" wrapText="1"/>
    </xf>
    <xf numFmtId="0" fontId="18" fillId="6" borderId="18" xfId="0" applyFont="1" applyFill="1" applyBorder="1" applyAlignment="1">
      <alignment horizontal="left" vertical="center" wrapText="1"/>
    </xf>
    <xf numFmtId="0" fontId="18" fillId="6" borderId="57" xfId="0" applyFont="1" applyFill="1" applyBorder="1" applyAlignment="1">
      <alignment horizontal="left" vertical="center" wrapText="1"/>
    </xf>
    <xf numFmtId="0" fontId="18" fillId="6" borderId="3" xfId="0" applyFont="1" applyFill="1" applyBorder="1" applyAlignment="1">
      <alignment horizontal="left" vertical="center" wrapText="1"/>
    </xf>
    <xf numFmtId="3" fontId="30" fillId="0" borderId="69" xfId="0" applyNumberFormat="1" applyFont="1" applyBorder="1" applyAlignment="1">
      <alignment horizontal="center" vertical="center"/>
    </xf>
    <xf numFmtId="3" fontId="30" fillId="0" borderId="70" xfId="0" applyNumberFormat="1" applyFont="1" applyBorder="1" applyAlignment="1">
      <alignment horizontal="center" vertical="center"/>
    </xf>
    <xf numFmtId="3" fontId="30" fillId="0" borderId="71" xfId="0" applyNumberFormat="1" applyFont="1" applyBorder="1" applyAlignment="1">
      <alignment horizontal="center" vertical="center"/>
    </xf>
    <xf numFmtId="0" fontId="18" fillId="6" borderId="49" xfId="0" applyFont="1" applyFill="1" applyBorder="1" applyAlignment="1">
      <alignment horizontal="left" vertical="center" wrapText="1"/>
    </xf>
    <xf numFmtId="0" fontId="18" fillId="6" borderId="44" xfId="0" applyFont="1" applyFill="1" applyBorder="1" applyAlignment="1">
      <alignment horizontal="left" vertical="center" wrapText="1"/>
    </xf>
    <xf numFmtId="0" fontId="3" fillId="0" borderId="22" xfId="0" applyFont="1" applyBorder="1" applyAlignment="1">
      <alignment horizontal="center" vertical="center" wrapText="1"/>
    </xf>
    <xf numFmtId="0" fontId="3" fillId="0" borderId="8" xfId="0" applyFont="1" applyBorder="1" applyAlignment="1">
      <alignment horizontal="center" vertical="center" wrapText="1"/>
    </xf>
    <xf numFmtId="0" fontId="18" fillId="6" borderId="19" xfId="0" applyFont="1" applyFill="1" applyBorder="1" applyAlignment="1">
      <alignment horizontal="left" vertical="center" wrapText="1"/>
    </xf>
    <xf numFmtId="0" fontId="18" fillId="6" borderId="1" xfId="0" applyFont="1" applyFill="1" applyBorder="1" applyAlignment="1">
      <alignment horizontal="left" vertical="center" wrapText="1"/>
    </xf>
    <xf numFmtId="3" fontId="30" fillId="7" borderId="14" xfId="0" applyNumberFormat="1" applyFont="1" applyFill="1" applyBorder="1" applyAlignment="1">
      <alignment horizontal="center" vertical="center"/>
    </xf>
    <xf numFmtId="3" fontId="30" fillId="7" borderId="33" xfId="0" applyNumberFormat="1" applyFont="1" applyFill="1" applyBorder="1" applyAlignment="1">
      <alignment horizontal="center" vertical="center"/>
    </xf>
    <xf numFmtId="0" fontId="28" fillId="0" borderId="10" xfId="0" applyFont="1" applyBorder="1" applyAlignment="1">
      <alignment horizontal="center" vertical="center" textRotation="90" wrapText="1"/>
    </xf>
    <xf numFmtId="0" fontId="28" fillId="0" borderId="8" xfId="0" applyFont="1" applyBorder="1" applyAlignment="1">
      <alignment horizontal="center" vertical="center" textRotation="90" wrapText="1"/>
    </xf>
    <xf numFmtId="3" fontId="30" fillId="0" borderId="42" xfId="0" applyNumberFormat="1" applyFont="1" applyBorder="1" applyAlignment="1">
      <alignment horizontal="center" vertical="center"/>
    </xf>
    <xf numFmtId="3" fontId="30" fillId="0" borderId="48" xfId="0" applyNumberFormat="1" applyFont="1" applyBorder="1" applyAlignment="1">
      <alignment horizontal="center" vertical="center"/>
    </xf>
    <xf numFmtId="0" fontId="18" fillId="6" borderId="49" xfId="0" quotePrefix="1" applyFont="1" applyFill="1" applyBorder="1" applyAlignment="1">
      <alignment horizontal="left" vertical="center" wrapText="1"/>
    </xf>
    <xf numFmtId="0" fontId="18" fillId="6" borderId="44" xfId="0" quotePrefix="1" applyFont="1" applyFill="1" applyBorder="1" applyAlignment="1">
      <alignment horizontal="left" vertical="center" wrapText="1"/>
    </xf>
    <xf numFmtId="0" fontId="18" fillId="6" borderId="39" xfId="0" quotePrefix="1" applyFont="1" applyFill="1" applyBorder="1" applyAlignment="1">
      <alignment horizontal="left" vertical="center" wrapText="1"/>
    </xf>
    <xf numFmtId="0" fontId="18" fillId="6" borderId="27" xfId="0" quotePrefix="1" applyFont="1" applyFill="1" applyBorder="1" applyAlignment="1">
      <alignment horizontal="left" vertical="center" wrapText="1"/>
    </xf>
    <xf numFmtId="0" fontId="18" fillId="6" borderId="48" xfId="0" quotePrefix="1" applyFont="1" applyFill="1" applyBorder="1" applyAlignment="1">
      <alignment horizontal="left" vertical="center" wrapText="1"/>
    </xf>
    <xf numFmtId="0" fontId="18" fillId="6" borderId="9" xfId="0" quotePrefix="1" applyFont="1" applyFill="1" applyBorder="1" applyAlignment="1">
      <alignment horizontal="left" vertical="center" wrapText="1"/>
    </xf>
    <xf numFmtId="0" fontId="28" fillId="0" borderId="22" xfId="0" applyFont="1" applyBorder="1" applyAlignment="1">
      <alignment horizontal="center" vertical="center" textRotation="90"/>
    </xf>
    <xf numFmtId="0" fontId="28" fillId="0" borderId="10" xfId="0" applyFont="1" applyBorder="1" applyAlignment="1">
      <alignment horizontal="center" vertical="center" textRotation="90"/>
    </xf>
    <xf numFmtId="0" fontId="28" fillId="0" borderId="8" xfId="0" applyFont="1" applyBorder="1" applyAlignment="1">
      <alignment horizontal="center" vertical="center" textRotation="90"/>
    </xf>
    <xf numFmtId="3" fontId="30" fillId="0" borderId="22" xfId="0" applyNumberFormat="1" applyFont="1" applyBorder="1" applyAlignment="1">
      <alignment horizontal="center" vertical="center"/>
    </xf>
    <xf numFmtId="3" fontId="30" fillId="0" borderId="10" xfId="0" applyNumberFormat="1" applyFont="1" applyBorder="1" applyAlignment="1">
      <alignment horizontal="center" vertical="center"/>
    </xf>
    <xf numFmtId="3" fontId="30" fillId="0" borderId="8" xfId="0" applyNumberFormat="1" applyFont="1" applyBorder="1" applyAlignment="1">
      <alignment horizontal="center" vertical="center"/>
    </xf>
    <xf numFmtId="0" fontId="18" fillId="6" borderId="68" xfId="0" applyFont="1" applyFill="1" applyBorder="1" applyAlignment="1">
      <alignment horizontal="left" vertical="center" wrapText="1"/>
    </xf>
    <xf numFmtId="0" fontId="18" fillId="6" borderId="46" xfId="0" applyFont="1" applyFill="1" applyBorder="1" applyAlignment="1">
      <alignment horizontal="left" vertical="center" wrapText="1"/>
    </xf>
    <xf numFmtId="0" fontId="28" fillId="0" borderId="41" xfId="0" applyFont="1" applyBorder="1" applyAlignment="1">
      <alignment horizontal="center" vertical="center" textRotation="90" wrapText="1"/>
    </xf>
    <xf numFmtId="3" fontId="30" fillId="0" borderId="6" xfId="0" applyNumberFormat="1" applyFont="1" applyBorder="1" applyAlignment="1">
      <alignment horizontal="center" vertical="center"/>
    </xf>
    <xf numFmtId="3" fontId="30" fillId="0" borderId="0" xfId="0" applyNumberFormat="1" applyFont="1" applyAlignment="1">
      <alignment horizontal="center" vertical="center"/>
    </xf>
    <xf numFmtId="0" fontId="30" fillId="0" borderId="0" xfId="0" applyFont="1" applyAlignment="1">
      <alignment horizontal="center" vertical="center"/>
    </xf>
    <xf numFmtId="0" fontId="28" fillId="0" borderId="63" xfId="0" applyFont="1" applyBorder="1" applyAlignment="1">
      <alignment horizontal="center" vertical="center" textRotation="90" wrapText="1"/>
    </xf>
    <xf numFmtId="3" fontId="30" fillId="0" borderId="21" xfId="0" applyNumberFormat="1" applyFont="1" applyBorder="1" applyAlignment="1">
      <alignment horizontal="center" vertical="center"/>
    </xf>
    <xf numFmtId="0" fontId="3" fillId="0" borderId="26" xfId="0" applyFont="1" applyBorder="1" applyAlignment="1">
      <alignment horizontal="left" vertical="center" wrapText="1"/>
    </xf>
    <xf numFmtId="0" fontId="3" fillId="0" borderId="34" xfId="0" applyFont="1" applyBorder="1" applyAlignment="1">
      <alignment horizontal="left" vertical="center" wrapText="1"/>
    </xf>
    <xf numFmtId="0" fontId="7" fillId="5" borderId="0" xfId="0" applyFont="1" applyFill="1" applyAlignment="1" applyProtection="1">
      <alignment horizontal="center" vertical="center"/>
      <protection locked="0"/>
    </xf>
    <xf numFmtId="0" fontId="7" fillId="5" borderId="28" xfId="0" applyFont="1" applyFill="1" applyBorder="1" applyAlignment="1" applyProtection="1">
      <alignment horizontal="center" vertical="center"/>
      <protection locked="0"/>
    </xf>
    <xf numFmtId="0" fontId="18" fillId="6" borderId="51" xfId="0" applyFont="1" applyFill="1" applyBorder="1" applyAlignment="1">
      <alignment horizontal="left" vertical="center" wrapText="1"/>
    </xf>
    <xf numFmtId="0" fontId="18" fillId="6" borderId="26" xfId="0" applyFont="1" applyFill="1" applyBorder="1" applyAlignment="1">
      <alignment horizontal="left" vertical="center" wrapText="1"/>
    </xf>
    <xf numFmtId="3" fontId="25" fillId="6" borderId="59" xfId="0" applyNumberFormat="1" applyFont="1" applyFill="1" applyBorder="1" applyAlignment="1">
      <alignment horizontal="center" vertical="center"/>
    </xf>
    <xf numFmtId="3" fontId="25" fillId="6" borderId="62" xfId="0" applyNumberFormat="1" applyFont="1" applyFill="1" applyBorder="1" applyAlignment="1">
      <alignment horizontal="center" vertical="center"/>
    </xf>
    <xf numFmtId="0" fontId="18" fillId="6" borderId="5" xfId="0" applyFont="1" applyFill="1" applyBorder="1" applyAlignment="1">
      <alignment horizontal="left" vertical="center" wrapText="1"/>
    </xf>
    <xf numFmtId="0" fontId="28" fillId="0" borderId="14" xfId="0" applyFont="1" applyBorder="1" applyAlignment="1">
      <alignment horizontal="center" vertical="center" textRotation="90" wrapText="1"/>
    </xf>
    <xf numFmtId="0" fontId="28" fillId="0" borderId="21" xfId="0" applyFont="1" applyBorder="1" applyAlignment="1">
      <alignment horizontal="center" vertical="center" textRotation="90" wrapText="1"/>
    </xf>
    <xf numFmtId="0" fontId="28" fillId="0" borderId="33" xfId="0" applyFont="1" applyBorder="1" applyAlignment="1">
      <alignment horizontal="center" vertical="center" textRotation="90" wrapText="1"/>
    </xf>
    <xf numFmtId="0" fontId="18" fillId="6" borderId="55" xfId="0" applyFont="1" applyFill="1" applyBorder="1" applyAlignment="1">
      <alignment horizontal="left" vertical="center"/>
    </xf>
    <xf numFmtId="0" fontId="18" fillId="6" borderId="18" xfId="0" applyFont="1" applyFill="1" applyBorder="1" applyAlignment="1">
      <alignment horizontal="left" vertical="center"/>
    </xf>
    <xf numFmtId="0" fontId="18" fillId="6" borderId="52" xfId="0" applyFont="1" applyFill="1" applyBorder="1" applyAlignment="1">
      <alignment horizontal="left" vertical="center" wrapText="1"/>
    </xf>
    <xf numFmtId="0" fontId="0" fillId="6" borderId="8" xfId="0" applyFill="1" applyBorder="1" applyAlignment="1">
      <alignment horizontal="center"/>
    </xf>
    <xf numFmtId="0" fontId="0" fillId="6" borderId="9" xfId="0" applyFill="1" applyBorder="1" applyAlignment="1">
      <alignment horizontal="center"/>
    </xf>
    <xf numFmtId="0" fontId="18" fillId="6" borderId="23" xfId="0" applyFont="1" applyFill="1" applyBorder="1" applyAlignment="1">
      <alignment horizontal="left" vertical="center" wrapText="1"/>
    </xf>
    <xf numFmtId="0" fontId="18" fillId="6" borderId="24" xfId="0" applyFont="1" applyFill="1" applyBorder="1" applyAlignment="1">
      <alignment horizontal="left" vertical="center" wrapText="1"/>
    </xf>
    <xf numFmtId="0" fontId="0" fillId="6" borderId="34" xfId="0" applyFill="1" applyBorder="1" applyAlignment="1">
      <alignment horizontal="center"/>
    </xf>
    <xf numFmtId="0" fontId="0" fillId="6" borderId="35" xfId="0" applyFill="1" applyBorder="1" applyAlignment="1">
      <alignment horizontal="center"/>
    </xf>
    <xf numFmtId="0" fontId="28" fillId="0" borderId="22" xfId="0" applyFont="1" applyBorder="1" applyAlignment="1">
      <alignment horizontal="center" vertical="center" textRotation="90" wrapText="1"/>
    </xf>
    <xf numFmtId="0" fontId="18" fillId="6" borderId="20" xfId="0" applyFont="1" applyFill="1" applyBorder="1" applyAlignment="1">
      <alignment horizontal="left" vertical="center" wrapText="1"/>
    </xf>
    <xf numFmtId="0" fontId="33" fillId="0" borderId="51" xfId="0" applyFont="1" applyBorder="1" applyAlignment="1">
      <alignment vertical="center" wrapText="1"/>
    </xf>
    <xf numFmtId="0" fontId="33" fillId="0" borderId="47" xfId="0" applyFont="1" applyBorder="1" applyAlignment="1">
      <alignment vertical="center" wrapText="1"/>
    </xf>
    <xf numFmtId="3" fontId="30" fillId="0" borderId="14" xfId="0" quotePrefix="1" applyNumberFormat="1" applyFont="1" applyBorder="1" applyAlignment="1">
      <alignment horizontal="center" vertical="center"/>
    </xf>
    <xf numFmtId="3" fontId="30" fillId="0" borderId="21" xfId="0" quotePrefix="1" applyNumberFormat="1" applyFont="1" applyBorder="1" applyAlignment="1">
      <alignment horizontal="center" vertical="center"/>
    </xf>
    <xf numFmtId="3" fontId="30" fillId="0" borderId="33" xfId="0" quotePrefix="1" applyNumberFormat="1" applyFont="1" applyBorder="1" applyAlignment="1">
      <alignment horizontal="center" vertical="center"/>
    </xf>
    <xf numFmtId="0" fontId="18" fillId="6" borderId="15" xfId="0" applyFont="1" applyFill="1" applyBorder="1" applyAlignment="1">
      <alignment horizontal="left" vertical="center" wrapText="1"/>
    </xf>
    <xf numFmtId="0" fontId="18" fillId="6" borderId="16"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3"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1" fillId="3" borderId="5" xfId="0" applyFont="1" applyFill="1" applyBorder="1" applyAlignment="1">
      <alignment horizontal="left" vertical="center"/>
    </xf>
    <xf numFmtId="0" fontId="21" fillId="3" borderId="3" xfId="0" applyFont="1" applyFill="1" applyBorder="1" applyAlignment="1">
      <alignment horizontal="left" vertical="center"/>
    </xf>
    <xf numFmtId="0" fontId="0" fillId="0" borderId="23" xfId="0" applyBorder="1" applyAlignment="1">
      <alignment horizontal="right" vertical="center" wrapText="1"/>
    </xf>
    <xf numFmtId="0" fontId="0" fillId="0" borderId="24" xfId="0" applyBorder="1" applyAlignment="1">
      <alignment horizontal="right" vertical="center" wrapText="1"/>
    </xf>
    <xf numFmtId="0" fontId="3" fillId="0" borderId="34" xfId="0" applyFont="1" applyBorder="1" applyAlignment="1">
      <alignment horizontal="right" wrapText="1"/>
    </xf>
    <xf numFmtId="0" fontId="3" fillId="0" borderId="35" xfId="0" applyFont="1" applyBorder="1" applyAlignment="1">
      <alignment horizontal="right" wrapText="1"/>
    </xf>
    <xf numFmtId="0" fontId="0" fillId="0" borderId="15" xfId="0" applyBorder="1" applyAlignment="1">
      <alignment horizontal="right" vertical="center" wrapText="1"/>
    </xf>
    <xf numFmtId="0" fontId="0" fillId="0" borderId="16" xfId="0" applyBorder="1" applyAlignment="1">
      <alignment horizontal="right" vertical="center" wrapText="1"/>
    </xf>
    <xf numFmtId="0" fontId="4" fillId="0" borderId="1" xfId="0" applyFont="1" applyBorder="1" applyAlignment="1">
      <alignment horizontal="center"/>
    </xf>
    <xf numFmtId="0" fontId="5"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cellXfs>
  <cellStyles count="4">
    <cellStyle name="Milliers" xfId="1" builtinId="3"/>
    <cellStyle name="Monétaire" xfId="2" builtinId="4"/>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tabSelected="1" topLeftCell="D1" workbookViewId="0">
      <selection activeCell="K5" sqref="K5"/>
    </sheetView>
  </sheetViews>
  <sheetFormatPr baseColWidth="10" defaultRowHeight="15" x14ac:dyDescent="0.25"/>
  <cols>
    <col min="1" max="1" width="2" customWidth="1"/>
    <col min="2" max="2" width="1.28515625" customWidth="1"/>
    <col min="3" max="3" width="10.28515625" style="1" customWidth="1"/>
    <col min="4" max="4" width="53.28515625" style="202" customWidth="1"/>
    <col min="7" max="7" width="15.5703125" style="81" customWidth="1"/>
    <col min="8" max="8" width="13.7109375" style="81" bestFit="1" customWidth="1"/>
    <col min="9" max="9" width="55.28515625" customWidth="1"/>
    <col min="10" max="10" width="11.42578125" style="81" customWidth="1"/>
    <col min="11" max="11" width="6" customWidth="1"/>
    <col min="12" max="12" width="12.7109375" customWidth="1"/>
    <col min="13" max="13" width="22.140625" customWidth="1"/>
    <col min="14" max="14" width="11.85546875" customWidth="1"/>
    <col min="15" max="15" width="19.42578125" customWidth="1"/>
    <col min="16" max="16" width="5.28515625" customWidth="1"/>
  </cols>
  <sheetData>
    <row r="1" spans="1:16" ht="27" thickBot="1" x14ac:dyDescent="0.45">
      <c r="D1" s="309" t="s">
        <v>192</v>
      </c>
      <c r="E1" s="309"/>
      <c r="F1" s="309"/>
      <c r="G1" s="309"/>
      <c r="H1" s="309"/>
      <c r="I1" s="309"/>
      <c r="J1" s="309"/>
      <c r="L1" s="2"/>
      <c r="O1" s="3"/>
    </row>
    <row r="2" spans="1:16" ht="27" thickBot="1" x14ac:dyDescent="0.3">
      <c r="A2" s="310" t="s">
        <v>0</v>
      </c>
      <c r="B2" s="311"/>
      <c r="C2" s="312"/>
      <c r="D2" s="312"/>
      <c r="E2" s="311"/>
      <c r="F2" s="311"/>
      <c r="G2" s="311"/>
      <c r="H2" s="311"/>
      <c r="I2" s="311"/>
      <c r="J2" s="313"/>
      <c r="K2" s="4"/>
      <c r="L2" s="4"/>
      <c r="M2" s="4"/>
      <c r="N2" s="4"/>
      <c r="O2" s="4"/>
      <c r="P2" s="4"/>
    </row>
    <row r="3" spans="1:16" ht="14.45" customHeight="1" thickBot="1" x14ac:dyDescent="0.3">
      <c r="C3" s="307" t="s">
        <v>1</v>
      </c>
      <c r="D3" s="308"/>
      <c r="E3" s="5">
        <v>0</v>
      </c>
      <c r="F3" s="6" t="s">
        <v>2</v>
      </c>
      <c r="G3" s="7">
        <v>0</v>
      </c>
      <c r="H3" s="8"/>
      <c r="I3" s="9" t="s">
        <v>3</v>
      </c>
      <c r="J3" s="10">
        <f>IF((G3+G4+G5+G6+G7+G8+H6+J7)&gt;16,16,(G3+G4+G5+G6+G7+G8+H6+J7))</f>
        <v>0</v>
      </c>
      <c r="K3" s="4"/>
      <c r="L3" s="11" t="s">
        <v>4</v>
      </c>
      <c r="M3" s="12">
        <f>E3</f>
        <v>0</v>
      </c>
      <c r="N3" s="13" t="s">
        <v>195</v>
      </c>
      <c r="O3" s="14" t="s">
        <v>6</v>
      </c>
      <c r="P3" s="4"/>
    </row>
    <row r="4" spans="1:16" x14ac:dyDescent="0.25">
      <c r="C4" s="303" t="s">
        <v>7</v>
      </c>
      <c r="D4" s="304"/>
      <c r="E4" s="15">
        <v>0</v>
      </c>
      <c r="F4" s="16" t="s">
        <v>8</v>
      </c>
      <c r="G4" s="17">
        <v>0</v>
      </c>
      <c r="H4" s="18"/>
      <c r="I4" s="203" t="s">
        <v>191</v>
      </c>
      <c r="J4" s="19">
        <v>0</v>
      </c>
      <c r="K4" s="4"/>
      <c r="L4" s="20">
        <f t="shared" ref="L4:L8" si="0">$M$3*K4</f>
        <v>0</v>
      </c>
      <c r="M4" s="21" t="s">
        <v>9</v>
      </c>
      <c r="N4" s="22">
        <v>6</v>
      </c>
      <c r="O4" s="23">
        <f>L4*N4</f>
        <v>0</v>
      </c>
      <c r="P4" s="4"/>
    </row>
    <row r="5" spans="1:16" ht="14.45" customHeight="1" x14ac:dyDescent="0.25">
      <c r="C5" s="303" t="s">
        <v>10</v>
      </c>
      <c r="D5" s="304"/>
      <c r="E5" s="24">
        <v>0</v>
      </c>
      <c r="F5" s="25" t="s">
        <v>11</v>
      </c>
      <c r="G5" s="17">
        <v>0</v>
      </c>
      <c r="H5" s="26"/>
      <c r="I5" s="27" t="s">
        <v>12</v>
      </c>
      <c r="J5" s="28" t="str">
        <f>IF((G3+G4+G5+G6+G7+G8+H6+J7)&lt;16,"0",(G3+G4+G5+G6+G7+G8+H6+J7)-16)</f>
        <v>0</v>
      </c>
      <c r="K5" s="4"/>
      <c r="L5" s="20">
        <f t="shared" si="0"/>
        <v>0</v>
      </c>
      <c r="M5" s="21" t="s">
        <v>194</v>
      </c>
      <c r="N5" s="22">
        <v>5</v>
      </c>
      <c r="O5" s="23">
        <f>L5*N5</f>
        <v>0</v>
      </c>
      <c r="P5" s="4"/>
    </row>
    <row r="6" spans="1:16" ht="15" customHeight="1" thickBot="1" x14ac:dyDescent="0.3">
      <c r="C6" s="303" t="s">
        <v>13</v>
      </c>
      <c r="D6" s="304"/>
      <c r="E6" s="24">
        <v>0</v>
      </c>
      <c r="F6" s="25" t="s">
        <v>14</v>
      </c>
      <c r="G6" s="17">
        <v>0</v>
      </c>
      <c r="H6" s="29">
        <v>0</v>
      </c>
      <c r="I6" s="30" t="s">
        <v>15</v>
      </c>
      <c r="J6" s="31">
        <v>0</v>
      </c>
      <c r="K6" s="4"/>
      <c r="L6" s="20">
        <f t="shared" si="0"/>
        <v>0</v>
      </c>
      <c r="M6" s="32" t="s">
        <v>20</v>
      </c>
      <c r="N6" s="22">
        <v>42</v>
      </c>
      <c r="O6" s="23">
        <f>L6*N6</f>
        <v>0</v>
      </c>
      <c r="P6" s="4"/>
    </row>
    <row r="7" spans="1:16" ht="15" customHeight="1" thickBot="1" x14ac:dyDescent="0.3">
      <c r="C7" s="303" t="s">
        <v>16</v>
      </c>
      <c r="D7" s="304"/>
      <c r="E7" s="33">
        <v>0</v>
      </c>
      <c r="F7" s="25" t="s">
        <v>17</v>
      </c>
      <c r="G7" s="17">
        <v>0</v>
      </c>
      <c r="H7" s="34" t="s">
        <v>18</v>
      </c>
      <c r="I7" s="30" t="s">
        <v>19</v>
      </c>
      <c r="J7" s="35">
        <v>0</v>
      </c>
      <c r="K7" s="4"/>
      <c r="L7" s="20">
        <f t="shared" si="0"/>
        <v>0</v>
      </c>
      <c r="M7" s="32" t="s">
        <v>24</v>
      </c>
      <c r="N7" s="40">
        <v>42</v>
      </c>
      <c r="O7" s="23">
        <f>L7*N7</f>
        <v>0</v>
      </c>
      <c r="P7" s="4"/>
    </row>
    <row r="8" spans="1:16" ht="14.45" customHeight="1" thickBot="1" x14ac:dyDescent="0.3">
      <c r="C8" s="305" t="s">
        <v>21</v>
      </c>
      <c r="D8" s="306"/>
      <c r="E8" s="36">
        <f>E3+E4+E7</f>
        <v>0</v>
      </c>
      <c r="F8" s="37" t="s">
        <v>22</v>
      </c>
      <c r="G8" s="38">
        <v>0</v>
      </c>
      <c r="H8" s="29">
        <v>0</v>
      </c>
      <c r="I8" s="39" t="s">
        <v>23</v>
      </c>
      <c r="J8" s="29">
        <v>0</v>
      </c>
      <c r="K8" s="4"/>
      <c r="L8" s="20">
        <f t="shared" si="0"/>
        <v>0</v>
      </c>
      <c r="M8" s="32" t="s">
        <v>27</v>
      </c>
      <c r="N8" s="22">
        <v>70</v>
      </c>
      <c r="O8" s="23">
        <f>L8*N8</f>
        <v>0</v>
      </c>
      <c r="P8" s="4"/>
    </row>
    <row r="9" spans="1:16" ht="19.5" thickBot="1" x14ac:dyDescent="0.3">
      <c r="A9" s="41"/>
      <c r="B9" s="42"/>
      <c r="C9" s="299"/>
      <c r="D9" s="300"/>
      <c r="E9" s="43"/>
      <c r="F9" s="44" t="str">
        <f>IF(F10="0","-",(F10+F31+F64))</f>
        <v>-</v>
      </c>
      <c r="G9" s="45" t="s">
        <v>25</v>
      </c>
      <c r="H9" s="46" t="e">
        <f>F9*7</f>
        <v>#VALUE!</v>
      </c>
      <c r="I9" s="301" t="s">
        <v>26</v>
      </c>
      <c r="J9" s="302"/>
      <c r="K9" s="4"/>
      <c r="L9" s="64" t="str">
        <f>IF(SUM(L4:L8)=M3,"VRAI","FAUX")</f>
        <v>VRAI</v>
      </c>
      <c r="M9" s="65" t="s">
        <v>31</v>
      </c>
      <c r="N9" s="66" t="s">
        <v>32</v>
      </c>
      <c r="O9" s="67">
        <f>SUM(O4:O8)</f>
        <v>0</v>
      </c>
      <c r="P9" s="4"/>
    </row>
    <row r="10" spans="1:16" ht="30" customHeight="1" thickBot="1" x14ac:dyDescent="0.35">
      <c r="A10" s="47" t="s">
        <v>28</v>
      </c>
      <c r="B10" s="48"/>
      <c r="C10" s="49"/>
      <c r="D10" s="50"/>
      <c r="E10" s="51" t="s">
        <v>29</v>
      </c>
      <c r="F10" s="52" t="str">
        <f>IF(G10="L'ENSEMBLE DES INDICATEURS SOCLE CONSTITUENT LE PREREQUIS A TOUTE REMUNERATION","0",SUM(F12:F29))</f>
        <v>0</v>
      </c>
      <c r="G10" s="204" t="str">
        <f>IF(OR(E12="moins de 8h",E13="non",F12&lt;=200,E22="non",E29="non",E29="-"),"L'ENSEMBLE DES INDICATEURS SOCLE CONSTITUENT LE PREREQUIS A TOUTE REMUNERATION","")</f>
        <v>L'ENSEMBLE DES INDICATEURS SOCLE CONSTITUENT LE PREREQUIS A TOUTE REMUNERATION</v>
      </c>
      <c r="H10" s="53"/>
      <c r="I10" s="54"/>
      <c r="J10" s="55"/>
      <c r="K10" s="4"/>
      <c r="L10" s="296" t="s">
        <v>36</v>
      </c>
      <c r="M10" s="297"/>
      <c r="N10" s="297"/>
      <c r="O10" s="298"/>
      <c r="P10" s="4"/>
    </row>
    <row r="11" spans="1:16" ht="29.45" customHeight="1" thickBot="1" x14ac:dyDescent="0.3">
      <c r="A11" s="41"/>
      <c r="B11" s="56" t="s">
        <v>30</v>
      </c>
      <c r="C11" s="57"/>
      <c r="D11" s="58"/>
      <c r="E11" s="59"/>
      <c r="F11" s="60"/>
      <c r="G11" s="61"/>
      <c r="H11" s="61"/>
      <c r="I11" s="62"/>
      <c r="J11" s="63"/>
      <c r="K11" s="4"/>
      <c r="L11" s="77">
        <f>18.56+3.08</f>
        <v>21.64</v>
      </c>
      <c r="M11" s="78" t="s">
        <v>40</v>
      </c>
      <c r="N11" s="79">
        <f>9.552+0.4</f>
        <v>9.952</v>
      </c>
      <c r="O11" s="80">
        <f>L11/N11</f>
        <v>2.17443729903537</v>
      </c>
      <c r="P11" s="4"/>
    </row>
    <row r="12" spans="1:16" ht="27.6" customHeight="1" thickBot="1" x14ac:dyDescent="0.3">
      <c r="A12" s="41"/>
      <c r="B12" s="42"/>
      <c r="C12" s="275" t="s">
        <v>33</v>
      </c>
      <c r="D12" s="68" t="s">
        <v>34</v>
      </c>
      <c r="E12" s="69" t="s">
        <v>72</v>
      </c>
      <c r="F12" s="291">
        <f>H17</f>
        <v>0</v>
      </c>
      <c r="G12" s="70" t="s">
        <v>5</v>
      </c>
      <c r="H12" s="71">
        <v>800</v>
      </c>
      <c r="I12" s="294" t="s">
        <v>35</v>
      </c>
      <c r="J12" s="295"/>
      <c r="K12" s="4"/>
      <c r="L12" s="85">
        <f>(L11-N11)/100</f>
        <v>0.11688000000000001</v>
      </c>
      <c r="M12" s="86" t="s">
        <v>44</v>
      </c>
      <c r="N12" s="87" t="e">
        <f>(H9-(F64*7))*L12</f>
        <v>#VALUE!</v>
      </c>
      <c r="O12" s="88" t="s">
        <v>45</v>
      </c>
      <c r="P12" s="4"/>
    </row>
    <row r="13" spans="1:16" ht="31.15" customHeight="1" thickBot="1" x14ac:dyDescent="0.3">
      <c r="A13" s="41"/>
      <c r="B13" s="42"/>
      <c r="C13" s="276"/>
      <c r="D13" s="73" t="s">
        <v>37</v>
      </c>
      <c r="E13" s="74" t="s">
        <v>72</v>
      </c>
      <c r="F13" s="292"/>
      <c r="G13" s="75" t="s">
        <v>38</v>
      </c>
      <c r="H13" s="76" t="str">
        <f>IF(E12="12 h et +","800",IF(E12="Moins de 12 h (et + de 10)",740,IF(E12="Moins de 10 h (et + de 8)",650,IF(E12="Moins de 8 h",-800,"0"))))</f>
        <v>0</v>
      </c>
      <c r="I13" s="283" t="s">
        <v>39</v>
      </c>
      <c r="J13" s="284"/>
      <c r="K13" s="4"/>
      <c r="L13" s="90">
        <f>0.1496523</f>
        <v>0.14965229999999999</v>
      </c>
      <c r="M13" s="91" t="s">
        <v>49</v>
      </c>
      <c r="N13" s="92" t="s">
        <v>50</v>
      </c>
      <c r="O13" s="93">
        <v>9.5519999999999994E-2</v>
      </c>
      <c r="P13" s="4"/>
    </row>
    <row r="14" spans="1:16" ht="37.15" customHeight="1" thickBot="1" x14ac:dyDescent="0.3">
      <c r="A14" s="41"/>
      <c r="B14" s="42"/>
      <c r="C14" s="276"/>
      <c r="D14" s="82" t="s">
        <v>41</v>
      </c>
      <c r="E14" s="74" t="s">
        <v>72</v>
      </c>
      <c r="F14" s="292"/>
      <c r="G14" s="83" t="s">
        <v>42</v>
      </c>
      <c r="H14" s="84" t="str">
        <f>IF(E14="non",-120,"0")</f>
        <v>0</v>
      </c>
      <c r="I14" s="283" t="s">
        <v>43</v>
      </c>
      <c r="J14" s="284"/>
      <c r="K14" s="4"/>
      <c r="L14" s="97">
        <f>L13-O13</f>
        <v>5.4132299999999994E-2</v>
      </c>
      <c r="M14" s="98" t="s">
        <v>54</v>
      </c>
      <c r="N14" s="99">
        <f>O9*L14/2</f>
        <v>0</v>
      </c>
      <c r="O14" s="100" t="s">
        <v>55</v>
      </c>
      <c r="P14" s="4"/>
    </row>
    <row r="15" spans="1:16" ht="29.45" customHeight="1" x14ac:dyDescent="0.25">
      <c r="A15" s="41"/>
      <c r="B15" s="42"/>
      <c r="C15" s="276"/>
      <c r="D15" s="89" t="s">
        <v>46</v>
      </c>
      <c r="E15" s="74">
        <v>0</v>
      </c>
      <c r="F15" s="292"/>
      <c r="G15" s="75" t="s">
        <v>47</v>
      </c>
      <c r="H15" s="76" t="str">
        <f>IF(E15=3,-90,IF(E15=2,-60,IF(E15=1,-30,IF(E15&gt;=4,-800,"0"))))</f>
        <v>0</v>
      </c>
      <c r="I15" s="283" t="s">
        <v>48</v>
      </c>
      <c r="J15" s="284"/>
      <c r="K15" s="4"/>
      <c r="L15" s="42"/>
      <c r="M15" s="4"/>
      <c r="N15" s="4"/>
      <c r="O15" s="4"/>
      <c r="P15" s="4"/>
    </row>
    <row r="16" spans="1:16" ht="31.15" customHeight="1" x14ac:dyDescent="0.25">
      <c r="A16" s="41"/>
      <c r="B16" s="42"/>
      <c r="C16" s="276"/>
      <c r="D16" s="89" t="s">
        <v>51</v>
      </c>
      <c r="E16" s="95" t="s">
        <v>52</v>
      </c>
      <c r="F16" s="292"/>
      <c r="G16" s="96"/>
      <c r="H16" s="76" t="str">
        <f>IF(E16="oui",200, "0")</f>
        <v>0</v>
      </c>
      <c r="I16" s="283" t="s">
        <v>53</v>
      </c>
      <c r="J16" s="284"/>
      <c r="K16" s="4"/>
      <c r="L16" s="107" t="s">
        <v>60</v>
      </c>
      <c r="M16" s="42"/>
      <c r="N16" s="4"/>
      <c r="O16" s="4"/>
      <c r="P16" s="4"/>
    </row>
    <row r="17" spans="1:16" ht="18.399999999999999" customHeight="1" thickBot="1" x14ac:dyDescent="0.3">
      <c r="A17" s="41"/>
      <c r="B17" s="42"/>
      <c r="C17" s="277"/>
      <c r="D17" s="111"/>
      <c r="E17" s="111"/>
      <c r="F17" s="293"/>
      <c r="G17" s="101" t="s">
        <v>56</v>
      </c>
      <c r="H17" s="102">
        <f>H13+H14+H15+H16</f>
        <v>0</v>
      </c>
      <c r="I17" s="285"/>
      <c r="J17" s="286"/>
      <c r="K17" s="4"/>
      <c r="L17" s="109">
        <f>L7+L6+L8</f>
        <v>0</v>
      </c>
      <c r="M17" s="110" t="s">
        <v>63</v>
      </c>
      <c r="N17" s="4"/>
      <c r="O17" s="4"/>
      <c r="P17" s="112"/>
    </row>
    <row r="18" spans="1:16" ht="33" thickBot="1" x14ac:dyDescent="0.3">
      <c r="A18" s="41"/>
      <c r="B18" s="42"/>
      <c r="C18" s="287" t="s">
        <v>57</v>
      </c>
      <c r="D18" s="103" t="s">
        <v>58</v>
      </c>
      <c r="E18" s="104" t="s">
        <v>72</v>
      </c>
      <c r="F18" s="209">
        <f>H20</f>
        <v>0</v>
      </c>
      <c r="G18" s="105" t="s">
        <v>5</v>
      </c>
      <c r="H18" s="106" t="str">
        <f>IF(E18="oui",100,"0")</f>
        <v>0</v>
      </c>
      <c r="I18" s="288" t="s">
        <v>59</v>
      </c>
      <c r="J18" s="228"/>
      <c r="K18" s="4"/>
      <c r="L18" s="109">
        <f>L17*0.05</f>
        <v>0</v>
      </c>
      <c r="M18" s="110" t="s">
        <v>64</v>
      </c>
      <c r="N18" s="4"/>
      <c r="O18" s="4"/>
      <c r="P18" s="4"/>
    </row>
    <row r="19" spans="1:16" ht="28.15" customHeight="1" x14ac:dyDescent="0.25">
      <c r="A19" s="41"/>
      <c r="B19" s="42"/>
      <c r="C19" s="242"/>
      <c r="D19" s="289" t="s">
        <v>61</v>
      </c>
      <c r="E19" s="205" t="s">
        <v>52</v>
      </c>
      <c r="F19" s="265"/>
      <c r="G19" s="108" t="s">
        <v>5</v>
      </c>
      <c r="H19" s="76" t="str">
        <f>IF(E19="oui", 350/4000*E3, "0")</f>
        <v>0</v>
      </c>
      <c r="I19" s="280" t="s">
        <v>62</v>
      </c>
      <c r="J19" s="216"/>
      <c r="K19" s="4"/>
      <c r="L19" s="111"/>
      <c r="M19" s="111"/>
      <c r="N19" s="111"/>
      <c r="O19" s="111"/>
      <c r="P19" s="4"/>
    </row>
    <row r="20" spans="1:16" ht="15" customHeight="1" thickBot="1" x14ac:dyDescent="0.3">
      <c r="A20" s="41"/>
      <c r="B20" s="42"/>
      <c r="C20" s="243"/>
      <c r="D20" s="290"/>
      <c r="E20" s="206"/>
      <c r="F20" s="210"/>
      <c r="G20" s="101" t="s">
        <v>56</v>
      </c>
      <c r="H20" s="102">
        <f>SUM(H18:H19)</f>
        <v>0</v>
      </c>
      <c r="I20" s="281"/>
      <c r="J20" s="282"/>
      <c r="K20" s="4"/>
      <c r="L20" s="42"/>
      <c r="M20" s="42"/>
      <c r="N20" s="42"/>
      <c r="O20" s="111"/>
      <c r="P20" s="4"/>
    </row>
    <row r="21" spans="1:16" ht="15.75" thickBot="1" x14ac:dyDescent="0.3">
      <c r="A21" s="41" t="s">
        <v>65</v>
      </c>
      <c r="B21" s="56" t="s">
        <v>66</v>
      </c>
      <c r="C21" s="57"/>
      <c r="D21" s="58"/>
      <c r="E21" s="59"/>
      <c r="F21" s="94"/>
      <c r="G21" s="61"/>
      <c r="H21" s="61"/>
      <c r="I21" s="62"/>
      <c r="J21" s="63"/>
      <c r="K21" s="4"/>
      <c r="L21" s="42"/>
      <c r="M21" s="42"/>
      <c r="N21" s="42"/>
      <c r="O21" s="42"/>
      <c r="P21" s="4"/>
    </row>
    <row r="22" spans="1:16" ht="36" customHeight="1" x14ac:dyDescent="0.25">
      <c r="A22" s="41"/>
      <c r="B22" s="42"/>
      <c r="C22" s="225" t="s">
        <v>67</v>
      </c>
      <c r="D22" s="114" t="s">
        <v>68</v>
      </c>
      <c r="E22" s="115" t="s">
        <v>72</v>
      </c>
      <c r="F22" s="209" t="str">
        <f>H25</f>
        <v>0</v>
      </c>
      <c r="G22" s="72" t="s">
        <v>69</v>
      </c>
      <c r="H22" s="116" t="str">
        <f>IF(E22="oui",1000/4000*E8, "0")</f>
        <v>0</v>
      </c>
      <c r="I22" s="278" t="s">
        <v>70</v>
      </c>
      <c r="J22" s="279"/>
      <c r="K22" s="4"/>
      <c r="L22" s="42"/>
      <c r="M22" s="42"/>
      <c r="N22" s="42"/>
      <c r="O22" s="42"/>
      <c r="P22" s="42"/>
    </row>
    <row r="23" spans="1:16" ht="50.45" customHeight="1" x14ac:dyDescent="0.25">
      <c r="A23" s="41"/>
      <c r="B23" s="42"/>
      <c r="C23" s="260"/>
      <c r="D23" s="118" t="s">
        <v>71</v>
      </c>
      <c r="E23" s="74" t="s">
        <v>72</v>
      </c>
      <c r="F23" s="265"/>
      <c r="G23" s="75" t="s">
        <v>73</v>
      </c>
      <c r="H23" s="119" t="str">
        <f>IF(E23="non",-250,IF(E23="oui",-150,"0"))</f>
        <v>0</v>
      </c>
      <c r="I23" s="215" t="s">
        <v>74</v>
      </c>
      <c r="J23" s="216"/>
      <c r="K23" s="4"/>
      <c r="L23" s="126"/>
      <c r="M23" s="126"/>
      <c r="N23" s="126"/>
      <c r="O23" s="42"/>
      <c r="P23" s="42"/>
    </row>
    <row r="24" spans="1:16" ht="48" x14ac:dyDescent="0.25">
      <c r="A24" s="41"/>
      <c r="B24" s="42"/>
      <c r="C24" s="260"/>
      <c r="D24" s="118" t="s">
        <v>75</v>
      </c>
      <c r="E24" s="74" t="s">
        <v>72</v>
      </c>
      <c r="F24" s="265"/>
      <c r="G24" s="75" t="s">
        <v>76</v>
      </c>
      <c r="H24" s="119" t="str">
        <f>IF(E24="oui",200,"0")</f>
        <v>0</v>
      </c>
      <c r="I24" s="215" t="s">
        <v>77</v>
      </c>
      <c r="J24" s="216"/>
      <c r="K24" s="4"/>
      <c r="L24" s="4"/>
      <c r="M24" s="4"/>
      <c r="N24" s="4"/>
      <c r="O24" s="4"/>
      <c r="P24" s="42"/>
    </row>
    <row r="25" spans="1:16" ht="15.75" thickBot="1" x14ac:dyDescent="0.3">
      <c r="A25" s="41"/>
      <c r="B25" s="42"/>
      <c r="C25" s="226"/>
      <c r="D25" s="4"/>
      <c r="E25" s="4"/>
      <c r="F25" s="210"/>
      <c r="G25" s="101" t="s">
        <v>56</v>
      </c>
      <c r="H25" s="122" t="str">
        <f>IF(E22="oui",SUM(H22:H24),"0")</f>
        <v>0</v>
      </c>
      <c r="I25" s="123"/>
      <c r="J25" s="124"/>
      <c r="K25" s="4"/>
      <c r="L25" s="4"/>
      <c r="M25" s="42"/>
      <c r="N25" s="42"/>
      <c r="O25" s="42"/>
      <c r="P25" s="42"/>
    </row>
    <row r="26" spans="1:16" ht="39" customHeight="1" thickBot="1" x14ac:dyDescent="0.3">
      <c r="A26" s="41"/>
      <c r="B26" s="42"/>
      <c r="C26" s="120" t="s">
        <v>78</v>
      </c>
      <c r="D26" s="127" t="s">
        <v>79</v>
      </c>
      <c r="E26" s="128">
        <v>0</v>
      </c>
      <c r="F26" s="113" t="str">
        <f>H26</f>
        <v>0</v>
      </c>
      <c r="G26" s="101" t="s">
        <v>56</v>
      </c>
      <c r="H26" s="122" t="str">
        <f>IF(E26&gt;=8,800,IF(E26&gt;0,E26*100,"0"))</f>
        <v>0</v>
      </c>
      <c r="I26" s="213" t="s">
        <v>80</v>
      </c>
      <c r="J26" s="214"/>
      <c r="K26" s="4"/>
      <c r="L26" s="4"/>
      <c r="M26" s="42"/>
      <c r="N26" s="42"/>
      <c r="O26" s="42"/>
      <c r="P26" s="42"/>
    </row>
    <row r="27" spans="1:16" ht="41.45" customHeight="1" thickBot="1" x14ac:dyDescent="0.3">
      <c r="A27" s="41"/>
      <c r="B27" s="42"/>
      <c r="C27" s="129" t="s">
        <v>193</v>
      </c>
      <c r="D27" s="130" t="s">
        <v>81</v>
      </c>
      <c r="E27" s="74" t="s">
        <v>72</v>
      </c>
      <c r="F27" s="132" t="str">
        <f>H27</f>
        <v>0</v>
      </c>
      <c r="G27" s="133" t="s">
        <v>56</v>
      </c>
      <c r="H27" s="134" t="str">
        <f>IF(E27="oui",(1000+1700/4000*E8+1100/4000*E4),"0")</f>
        <v>0</v>
      </c>
      <c r="I27" s="229" t="s">
        <v>82</v>
      </c>
      <c r="J27" s="230"/>
      <c r="K27" s="4"/>
      <c r="L27" s="42"/>
      <c r="M27" s="42"/>
      <c r="N27" s="42"/>
      <c r="O27" s="42"/>
      <c r="P27" s="42"/>
    </row>
    <row r="28" spans="1:16" ht="15" customHeight="1" thickBot="1" x14ac:dyDescent="0.3">
      <c r="A28" s="41"/>
      <c r="B28" s="59" t="s">
        <v>83</v>
      </c>
      <c r="C28" s="57"/>
      <c r="D28" s="58"/>
      <c r="E28" s="59"/>
      <c r="F28" s="94"/>
      <c r="G28" s="61"/>
      <c r="H28" s="61"/>
      <c r="I28" s="62"/>
      <c r="J28" s="63"/>
      <c r="K28" s="4"/>
      <c r="L28" s="142"/>
      <c r="M28" s="42"/>
      <c r="N28" s="42"/>
      <c r="O28" s="42"/>
      <c r="P28" s="42"/>
    </row>
    <row r="29" spans="1:16" ht="24" customHeight="1" thickBot="1" x14ac:dyDescent="0.3">
      <c r="A29" s="41"/>
      <c r="B29" s="42"/>
      <c r="C29" s="135"/>
      <c r="D29" s="136" t="s">
        <v>84</v>
      </c>
      <c r="E29" s="137" t="s">
        <v>72</v>
      </c>
      <c r="F29" s="138" t="str">
        <f>H29</f>
        <v>0</v>
      </c>
      <c r="G29" s="139" t="s">
        <v>69</v>
      </c>
      <c r="H29" s="134" t="str">
        <f>IF(E29="oui",500+(200*J3)+(150*J5),"0")</f>
        <v>0</v>
      </c>
      <c r="I29" s="274" t="s">
        <v>85</v>
      </c>
      <c r="J29" s="230"/>
      <c r="K29" s="4"/>
      <c r="L29" s="42"/>
      <c r="M29" s="42"/>
      <c r="N29" s="42"/>
      <c r="O29" s="42"/>
      <c r="P29" s="42"/>
    </row>
    <row r="30" spans="1:16" ht="15" customHeight="1" x14ac:dyDescent="0.25">
      <c r="A30" s="41"/>
      <c r="B30" s="42"/>
      <c r="C30" s="117"/>
      <c r="D30" s="140"/>
      <c r="E30" s="141"/>
      <c r="F30" s="142"/>
      <c r="G30" s="143"/>
      <c r="H30" s="143"/>
      <c r="I30" s="142"/>
      <c r="J30" s="144"/>
      <c r="K30" s="4"/>
      <c r="L30" s="42"/>
      <c r="M30" s="42"/>
      <c r="N30" s="42"/>
      <c r="O30" s="42"/>
      <c r="P30" s="42"/>
    </row>
    <row r="31" spans="1:16" ht="18.75" x14ac:dyDescent="0.3">
      <c r="A31" s="47" t="s">
        <v>86</v>
      </c>
      <c r="B31" s="48"/>
      <c r="C31" s="49"/>
      <c r="D31" s="50"/>
      <c r="E31" s="51" t="s">
        <v>29</v>
      </c>
      <c r="F31" s="52">
        <f>SUM(F33:F62)</f>
        <v>0</v>
      </c>
      <c r="G31" s="145" t="str">
        <f>IF(F31="-","(Bloc non pris en compte car les obligations socle doivent être préalablement satisfaites)","")</f>
        <v/>
      </c>
      <c r="H31" s="145"/>
      <c r="I31" s="146"/>
      <c r="J31" s="55"/>
      <c r="K31" s="4"/>
      <c r="L31" s="42"/>
      <c r="M31" s="42"/>
      <c r="N31" s="42"/>
      <c r="O31" s="42"/>
      <c r="P31" s="4"/>
    </row>
    <row r="32" spans="1:16" ht="15.75" thickBot="1" x14ac:dyDescent="0.3">
      <c r="A32" s="41"/>
      <c r="B32" s="56" t="s">
        <v>30</v>
      </c>
      <c r="C32" s="57"/>
      <c r="D32" s="58"/>
      <c r="E32" s="59"/>
      <c r="F32" s="60">
        <f>SUM(F33:F62)</f>
        <v>0</v>
      </c>
      <c r="G32" s="61"/>
      <c r="H32" s="61"/>
      <c r="I32" s="62"/>
      <c r="J32" s="63"/>
      <c r="K32" s="4"/>
      <c r="L32" s="42"/>
      <c r="M32" s="42"/>
      <c r="N32" s="42"/>
      <c r="O32" s="42"/>
      <c r="P32" s="4"/>
    </row>
    <row r="33" spans="1:16" ht="40.15" customHeight="1" x14ac:dyDescent="0.25">
      <c r="A33" s="41"/>
      <c r="B33" s="42"/>
      <c r="C33" s="275" t="s">
        <v>87</v>
      </c>
      <c r="D33" s="147" t="s">
        <v>88</v>
      </c>
      <c r="E33" s="104">
        <v>0</v>
      </c>
      <c r="F33" s="209">
        <f>H37</f>
        <v>0</v>
      </c>
      <c r="G33" s="105" t="s">
        <v>89</v>
      </c>
      <c r="H33" s="116" t="str">
        <f>IF(E33&gt;=2,2*E8*350/4000,IF(E33&gt;0,E33*E8*350/4000,"0"))</f>
        <v>0</v>
      </c>
      <c r="I33" s="227" t="s">
        <v>90</v>
      </c>
      <c r="J33" s="228"/>
      <c r="K33" s="4"/>
      <c r="L33" s="42"/>
      <c r="M33" s="42"/>
      <c r="N33" s="42"/>
      <c r="O33" s="42"/>
      <c r="P33" s="42"/>
    </row>
    <row r="34" spans="1:16" ht="30" customHeight="1" x14ac:dyDescent="0.25">
      <c r="A34" s="41"/>
      <c r="B34" s="42"/>
      <c r="C34" s="276"/>
      <c r="D34" s="148" t="s">
        <v>51</v>
      </c>
      <c r="E34" s="95" t="s">
        <v>72</v>
      </c>
      <c r="F34" s="265"/>
      <c r="G34" s="96" t="s">
        <v>91</v>
      </c>
      <c r="H34" s="119" t="str">
        <f>IF(E34="oui",200, "0")</f>
        <v>0</v>
      </c>
      <c r="I34" s="215" t="s">
        <v>92</v>
      </c>
      <c r="J34" s="216"/>
      <c r="K34" s="4"/>
      <c r="L34" s="42"/>
      <c r="M34" s="42"/>
      <c r="N34" s="42"/>
      <c r="O34" s="42"/>
      <c r="P34" s="42"/>
    </row>
    <row r="35" spans="1:16" ht="35.450000000000003" customHeight="1" x14ac:dyDescent="0.25">
      <c r="A35" s="41"/>
      <c r="B35" s="42"/>
      <c r="C35" s="276"/>
      <c r="D35" s="148" t="s">
        <v>93</v>
      </c>
      <c r="E35" s="74" t="s">
        <v>72</v>
      </c>
      <c r="F35" s="265"/>
      <c r="G35" s="96" t="s">
        <v>94</v>
      </c>
      <c r="H35" s="119" t="str">
        <f>IF(E35="oui",200/4000*E8,"0")</f>
        <v>0</v>
      </c>
      <c r="I35" s="215" t="s">
        <v>95</v>
      </c>
      <c r="J35" s="216"/>
      <c r="K35" s="4"/>
      <c r="L35" s="42"/>
      <c r="M35" s="42"/>
      <c r="N35" s="42"/>
      <c r="O35" s="42"/>
      <c r="P35" s="42"/>
    </row>
    <row r="36" spans="1:16" ht="37.9" customHeight="1" x14ac:dyDescent="0.25">
      <c r="A36" s="41"/>
      <c r="B36" s="42"/>
      <c r="C36" s="276"/>
      <c r="D36" s="148" t="s">
        <v>96</v>
      </c>
      <c r="E36" s="74" t="s">
        <v>72</v>
      </c>
      <c r="F36" s="265"/>
      <c r="G36" s="108" t="s">
        <v>97</v>
      </c>
      <c r="H36" s="119" t="str">
        <f>IF(E36="oui",E5*200/2600,"0")</f>
        <v>0</v>
      </c>
      <c r="I36" s="215" t="s">
        <v>98</v>
      </c>
      <c r="J36" s="216"/>
      <c r="K36" s="4"/>
      <c r="L36" s="42"/>
      <c r="M36" s="42"/>
      <c r="N36" s="42"/>
      <c r="O36" s="42"/>
      <c r="P36" s="42"/>
    </row>
    <row r="37" spans="1:16" ht="15.75" thickBot="1" x14ac:dyDescent="0.3">
      <c r="A37" s="41"/>
      <c r="B37" s="42"/>
      <c r="C37" s="277"/>
      <c r="D37" s="42"/>
      <c r="E37" s="42"/>
      <c r="F37" s="210"/>
      <c r="G37" s="101" t="s">
        <v>56</v>
      </c>
      <c r="H37" s="122">
        <f>SUM(H33:H36)</f>
        <v>0</v>
      </c>
      <c r="I37" s="123"/>
      <c r="J37" s="124"/>
      <c r="K37" s="4"/>
      <c r="L37" s="42"/>
      <c r="M37" s="42"/>
      <c r="N37" s="42"/>
      <c r="O37" s="42"/>
      <c r="P37" s="42"/>
    </row>
    <row r="38" spans="1:16" ht="24" customHeight="1" x14ac:dyDescent="0.25">
      <c r="A38" s="41"/>
      <c r="B38" s="42"/>
      <c r="C38" s="242" t="s">
        <v>99</v>
      </c>
      <c r="D38" s="148" t="s">
        <v>100</v>
      </c>
      <c r="E38" s="149" t="s">
        <v>72</v>
      </c>
      <c r="F38" s="209">
        <f>H38+H39+H40+H42+H43</f>
        <v>0</v>
      </c>
      <c r="G38" s="70" t="s">
        <v>5</v>
      </c>
      <c r="H38" s="150" t="str">
        <f>IF(E38="oui",300,"0")</f>
        <v>0</v>
      </c>
      <c r="I38" s="227" t="s">
        <v>101</v>
      </c>
      <c r="J38" s="228"/>
      <c r="K38" s="4"/>
      <c r="L38" s="42"/>
      <c r="M38" s="42"/>
      <c r="N38" s="42"/>
      <c r="O38" s="42"/>
      <c r="P38" s="42"/>
    </row>
    <row r="39" spans="1:16" ht="25.15" customHeight="1" x14ac:dyDescent="0.25">
      <c r="A39" s="41"/>
      <c r="B39" s="42"/>
      <c r="C39" s="242"/>
      <c r="D39" s="151" t="s">
        <v>102</v>
      </c>
      <c r="E39" s="152" t="s">
        <v>72</v>
      </c>
      <c r="F39" s="265"/>
      <c r="G39" s="75" t="s">
        <v>5</v>
      </c>
      <c r="H39" s="119" t="str">
        <f>IF(E39="oui",300,"0")</f>
        <v>0</v>
      </c>
      <c r="I39" s="215" t="s">
        <v>101</v>
      </c>
      <c r="J39" s="216"/>
      <c r="K39" s="4"/>
      <c r="L39" s="42"/>
      <c r="M39" s="42"/>
      <c r="N39" s="42"/>
      <c r="O39" s="42"/>
      <c r="P39" s="42"/>
    </row>
    <row r="40" spans="1:16" ht="22.9" customHeight="1" x14ac:dyDescent="0.25">
      <c r="A40" s="41"/>
      <c r="B40" s="42"/>
      <c r="C40" s="242"/>
      <c r="D40" s="266" t="s">
        <v>103</v>
      </c>
      <c r="E40" s="268" t="s">
        <v>72</v>
      </c>
      <c r="F40" s="265"/>
      <c r="G40" s="270" t="s">
        <v>5</v>
      </c>
      <c r="H40" s="272" t="str">
        <f>IF(E40="oui",300,"0")</f>
        <v>0</v>
      </c>
      <c r="I40" s="217" t="s">
        <v>104</v>
      </c>
      <c r="J40" s="218"/>
      <c r="K40" s="4"/>
      <c r="L40" s="42"/>
      <c r="M40" s="42"/>
      <c r="N40" s="42"/>
      <c r="O40" s="42"/>
      <c r="P40" s="42"/>
    </row>
    <row r="41" spans="1:16" ht="25.15" customHeight="1" thickBot="1" x14ac:dyDescent="0.3">
      <c r="A41" s="41"/>
      <c r="B41" s="42"/>
      <c r="C41" s="242"/>
      <c r="D41" s="267"/>
      <c r="E41" s="269"/>
      <c r="F41" s="265"/>
      <c r="G41" s="271"/>
      <c r="H41" s="273"/>
      <c r="I41" s="234"/>
      <c r="J41" s="235"/>
      <c r="K41" s="4"/>
      <c r="L41" s="42"/>
      <c r="M41" s="42"/>
      <c r="N41" s="42"/>
      <c r="O41" s="42"/>
      <c r="P41" s="42"/>
    </row>
    <row r="42" spans="1:16" ht="72.75" x14ac:dyDescent="0.25">
      <c r="A42" s="41"/>
      <c r="B42" s="42"/>
      <c r="C42" s="242"/>
      <c r="D42" s="147" t="s">
        <v>105</v>
      </c>
      <c r="E42" s="152" t="s">
        <v>72</v>
      </c>
      <c r="F42" s="265"/>
      <c r="G42" s="108" t="s">
        <v>5</v>
      </c>
      <c r="H42" s="119" t="str">
        <f>IF(E42="oui",300,"0")</f>
        <v>0</v>
      </c>
      <c r="I42" s="215" t="s">
        <v>101</v>
      </c>
      <c r="J42" s="216"/>
      <c r="K42" s="4"/>
      <c r="L42" s="42"/>
      <c r="M42" s="42"/>
      <c r="N42" s="42"/>
      <c r="O42" s="42"/>
      <c r="P42" s="42"/>
    </row>
    <row r="43" spans="1:16" ht="42" customHeight="1" thickBot="1" x14ac:dyDescent="0.3">
      <c r="A43" s="41"/>
      <c r="B43" s="42"/>
      <c r="C43" s="264"/>
      <c r="D43" s="151" t="s">
        <v>106</v>
      </c>
      <c r="E43" s="152" t="s">
        <v>72</v>
      </c>
      <c r="F43" s="210"/>
      <c r="G43" s="108" t="s">
        <v>5</v>
      </c>
      <c r="H43" s="119" t="str">
        <f>IF(E43="oui",200,"0")</f>
        <v>0</v>
      </c>
      <c r="I43" s="215" t="s">
        <v>107</v>
      </c>
      <c r="J43" s="216"/>
      <c r="K43" s="4"/>
      <c r="L43" s="42"/>
      <c r="M43" s="42"/>
      <c r="N43" s="42"/>
      <c r="O43" s="42"/>
      <c r="P43" s="42"/>
    </row>
    <row r="44" spans="1:16" ht="27" thickBot="1" x14ac:dyDescent="0.3">
      <c r="A44" s="41"/>
      <c r="B44" s="42"/>
      <c r="C44" s="154" t="s">
        <v>108</v>
      </c>
      <c r="D44" s="155" t="s">
        <v>109</v>
      </c>
      <c r="E44" s="156" t="s">
        <v>72</v>
      </c>
      <c r="F44" s="113" t="str">
        <f>H44</f>
        <v>0</v>
      </c>
      <c r="G44" s="157" t="s">
        <v>5</v>
      </c>
      <c r="H44" s="158" t="str">
        <f>IF(E44="oui",200,"0")</f>
        <v>0</v>
      </c>
      <c r="I44" s="213" t="s">
        <v>110</v>
      </c>
      <c r="J44" s="214"/>
      <c r="K44" s="4"/>
      <c r="L44" s="42"/>
      <c r="M44" s="42"/>
      <c r="N44" s="42"/>
      <c r="O44" s="42"/>
      <c r="P44" s="42"/>
    </row>
    <row r="45" spans="1:16" ht="23.45" customHeight="1" thickBot="1" x14ac:dyDescent="0.3">
      <c r="A45" s="41"/>
      <c r="B45" s="56" t="s">
        <v>66</v>
      </c>
      <c r="C45" s="57"/>
      <c r="D45" s="58"/>
      <c r="E45" s="59"/>
      <c r="F45" s="94"/>
      <c r="G45" s="61"/>
      <c r="H45" s="61"/>
      <c r="I45" s="62"/>
      <c r="J45" s="63"/>
      <c r="K45" s="4"/>
      <c r="L45" s="42"/>
      <c r="M45" s="42"/>
      <c r="N45" s="42"/>
      <c r="O45" s="42"/>
      <c r="P45" s="42"/>
    </row>
    <row r="46" spans="1:16" ht="24" customHeight="1" thickBot="1" x14ac:dyDescent="0.3">
      <c r="A46" s="41"/>
      <c r="B46" s="42"/>
      <c r="C46" s="225" t="s">
        <v>111</v>
      </c>
      <c r="D46" s="159" t="s">
        <v>112</v>
      </c>
      <c r="E46" s="115" t="s">
        <v>72</v>
      </c>
      <c r="F46" s="261">
        <f>H51</f>
        <v>0</v>
      </c>
      <c r="G46" s="105" t="s">
        <v>113</v>
      </c>
      <c r="H46" s="116" t="str">
        <f>IF(E46="oui",450,"0")</f>
        <v>0</v>
      </c>
      <c r="I46" s="227" t="s">
        <v>114</v>
      </c>
      <c r="J46" s="228"/>
      <c r="K46" s="4"/>
      <c r="L46" s="42"/>
      <c r="M46" s="42"/>
      <c r="N46" s="42"/>
      <c r="O46" s="42"/>
      <c r="P46" s="42"/>
    </row>
    <row r="47" spans="1:16" ht="24" customHeight="1" x14ac:dyDescent="0.25">
      <c r="A47" s="41"/>
      <c r="B47" s="42"/>
      <c r="C47" s="260"/>
      <c r="D47" s="159" t="s">
        <v>115</v>
      </c>
      <c r="E47" s="95">
        <v>0</v>
      </c>
      <c r="F47" s="262"/>
      <c r="G47" s="108" t="s">
        <v>116</v>
      </c>
      <c r="H47" s="160" t="str">
        <f>IF(E47&gt;=2,100,IF(E47&gt;0,E47*50,"0"))</f>
        <v>0</v>
      </c>
      <c r="I47" s="215" t="s">
        <v>117</v>
      </c>
      <c r="J47" s="216"/>
      <c r="K47" s="4"/>
      <c r="L47" s="42"/>
      <c r="M47" s="42"/>
      <c r="N47" s="42"/>
      <c r="O47" s="42"/>
      <c r="P47" s="42"/>
    </row>
    <row r="48" spans="1:16" ht="24" customHeight="1" x14ac:dyDescent="0.25">
      <c r="A48" s="41"/>
      <c r="B48" s="42"/>
      <c r="C48" s="260"/>
      <c r="D48" s="161" t="s">
        <v>118</v>
      </c>
      <c r="E48" s="74" t="s">
        <v>72</v>
      </c>
      <c r="F48" s="262"/>
      <c r="G48" s="108" t="s">
        <v>119</v>
      </c>
      <c r="H48" s="160" t="str">
        <f>IF(E48="oui",225,"0")</f>
        <v>0</v>
      </c>
      <c r="I48" s="215" t="s">
        <v>120</v>
      </c>
      <c r="J48" s="216"/>
      <c r="K48" s="4"/>
      <c r="L48" s="42"/>
      <c r="M48" s="42"/>
      <c r="N48" s="42"/>
      <c r="O48" s="42"/>
      <c r="P48" s="42"/>
    </row>
    <row r="49" spans="1:16" ht="34.9" customHeight="1" x14ac:dyDescent="0.25">
      <c r="A49" s="41"/>
      <c r="B49" s="42"/>
      <c r="C49" s="260"/>
      <c r="D49" s="162" t="s">
        <v>121</v>
      </c>
      <c r="E49" s="74" t="s">
        <v>72</v>
      </c>
      <c r="F49" s="263"/>
      <c r="G49" s="108" t="s">
        <v>122</v>
      </c>
      <c r="H49" s="160" t="str">
        <f>IF(E49="oui",225,"0")</f>
        <v>0</v>
      </c>
      <c r="I49" s="215" t="s">
        <v>123</v>
      </c>
      <c r="J49" s="216"/>
      <c r="K49" s="4"/>
      <c r="L49" s="42"/>
      <c r="M49" s="42"/>
      <c r="N49" s="42"/>
      <c r="O49" s="42"/>
      <c r="P49" s="42"/>
    </row>
    <row r="50" spans="1:16" ht="34.9" customHeight="1" x14ac:dyDescent="0.25">
      <c r="A50" s="41"/>
      <c r="B50" s="42"/>
      <c r="C50" s="260"/>
      <c r="D50" s="162" t="s">
        <v>124</v>
      </c>
      <c r="E50" s="95">
        <v>0</v>
      </c>
      <c r="F50" s="263"/>
      <c r="G50" s="108" t="s">
        <v>125</v>
      </c>
      <c r="H50" s="160">
        <f>IF(E50&lt;=2,225*E50,IF(E50&gt;2,225*2,IF(E50&lt;0, 0, "0")))</f>
        <v>0</v>
      </c>
      <c r="I50" s="215" t="s">
        <v>126</v>
      </c>
      <c r="J50" s="216"/>
      <c r="K50" s="4"/>
      <c r="L50" s="42"/>
      <c r="M50" s="42"/>
      <c r="N50" s="42"/>
      <c r="O50" s="42"/>
      <c r="P50" s="42"/>
    </row>
    <row r="51" spans="1:16" ht="15.75" thickBot="1" x14ac:dyDescent="0.3">
      <c r="A51" s="41"/>
      <c r="B51" s="42"/>
      <c r="C51" s="260"/>
      <c r="D51" s="163"/>
      <c r="E51" s="95">
        <v>0</v>
      </c>
      <c r="F51" s="263"/>
      <c r="G51" s="164" t="s">
        <v>56</v>
      </c>
      <c r="H51" s="158">
        <f>SUM(H46:H50)</f>
        <v>0</v>
      </c>
      <c r="I51" s="123"/>
      <c r="J51" s="124"/>
      <c r="K51" s="4"/>
      <c r="L51" s="42"/>
      <c r="M51" s="42"/>
      <c r="N51" s="42"/>
      <c r="O51" s="42"/>
      <c r="P51" s="42"/>
    </row>
    <row r="52" spans="1:16" ht="84.6" customHeight="1" x14ac:dyDescent="0.25">
      <c r="A52" s="41"/>
      <c r="B52" s="42"/>
      <c r="C52" s="252" t="s">
        <v>127</v>
      </c>
      <c r="D52" s="114" t="s">
        <v>128</v>
      </c>
      <c r="E52" s="165" t="s">
        <v>72</v>
      </c>
      <c r="F52" s="255">
        <f>H52+H53+H55</f>
        <v>0</v>
      </c>
      <c r="G52" s="105" t="s">
        <v>69</v>
      </c>
      <c r="H52" s="116" t="str">
        <f>IF(E52="oui",E8*200/4000,"0")</f>
        <v>0</v>
      </c>
      <c r="I52" s="227" t="s">
        <v>129</v>
      </c>
      <c r="J52" s="228"/>
      <c r="K52" s="4"/>
      <c r="L52" s="42"/>
      <c r="M52" s="42"/>
      <c r="N52" s="42"/>
      <c r="O52" s="42"/>
      <c r="P52" s="42"/>
    </row>
    <row r="53" spans="1:16" ht="49.15" customHeight="1" x14ac:dyDescent="0.25">
      <c r="A53" s="41"/>
      <c r="B53" s="42"/>
      <c r="C53" s="253"/>
      <c r="D53" s="118" t="s">
        <v>130</v>
      </c>
      <c r="E53" s="166" t="s">
        <v>72</v>
      </c>
      <c r="F53" s="256"/>
      <c r="G53" s="108" t="s">
        <v>131</v>
      </c>
      <c r="H53" s="119" t="str">
        <f>IF(E53="oui",200,"0")</f>
        <v>0</v>
      </c>
      <c r="I53" s="215" t="s">
        <v>132</v>
      </c>
      <c r="J53" s="216"/>
      <c r="K53" s="4"/>
      <c r="L53" s="125"/>
      <c r="M53" s="42"/>
      <c r="N53" s="42"/>
      <c r="O53" s="42"/>
      <c r="P53" s="42"/>
    </row>
    <row r="54" spans="1:16" ht="27" customHeight="1" x14ac:dyDescent="0.25">
      <c r="A54" s="41"/>
      <c r="B54" s="42"/>
      <c r="C54" s="253"/>
      <c r="D54" s="167" t="s">
        <v>51</v>
      </c>
      <c r="E54" s="149" t="s">
        <v>72</v>
      </c>
      <c r="F54" s="256"/>
      <c r="G54" s="96" t="s">
        <v>91</v>
      </c>
      <c r="H54" s="119" t="str">
        <f>IF(E54="oui",(200/4000*E8), "0")</f>
        <v>0</v>
      </c>
      <c r="I54" s="215" t="s">
        <v>133</v>
      </c>
      <c r="J54" s="216"/>
      <c r="K54" s="4"/>
      <c r="L54" s="125"/>
      <c r="M54" s="42"/>
      <c r="N54" s="42"/>
      <c r="O54" s="42"/>
      <c r="P54" s="42"/>
    </row>
    <row r="55" spans="1:16" ht="24.75" thickBot="1" x14ac:dyDescent="0.3">
      <c r="A55" s="41"/>
      <c r="B55" s="42"/>
      <c r="C55" s="254"/>
      <c r="D55" s="121" t="s">
        <v>134</v>
      </c>
      <c r="E55" s="128">
        <v>0</v>
      </c>
      <c r="F55" s="257"/>
      <c r="G55" s="164" t="s">
        <v>56</v>
      </c>
      <c r="H55" s="158" t="str">
        <f>IF(E55&gt;=8,320,IF(E55&gt;0,E55*40,"0"))</f>
        <v>0</v>
      </c>
      <c r="I55" s="258" t="s">
        <v>135</v>
      </c>
      <c r="J55" s="259"/>
      <c r="K55" s="4"/>
      <c r="L55" s="125"/>
      <c r="M55" s="42"/>
      <c r="N55" s="42"/>
      <c r="O55" s="42"/>
      <c r="P55" s="42"/>
    </row>
    <row r="56" spans="1:16" ht="61.9" customHeight="1" thickBot="1" x14ac:dyDescent="0.3">
      <c r="A56" s="41"/>
      <c r="B56" s="42"/>
      <c r="C56" s="129" t="s">
        <v>136</v>
      </c>
      <c r="D56" s="167" t="s">
        <v>137</v>
      </c>
      <c r="E56" s="131">
        <v>0</v>
      </c>
      <c r="F56" s="168">
        <f>H56</f>
        <v>0</v>
      </c>
      <c r="G56" s="139" t="s">
        <v>138</v>
      </c>
      <c r="H56" s="134">
        <f>IF(E56&lt;=8,200*E56,IF(E56&gt;8,1600,"0"))</f>
        <v>0</v>
      </c>
      <c r="I56" s="229" t="s">
        <v>139</v>
      </c>
      <c r="J56" s="230"/>
      <c r="K56" s="4"/>
      <c r="L56" s="125"/>
      <c r="M56" s="42"/>
      <c r="N56" s="42"/>
      <c r="O56" s="42"/>
      <c r="P56" s="42"/>
    </row>
    <row r="57" spans="1:16" ht="25.15" customHeight="1" x14ac:dyDescent="0.25">
      <c r="A57" s="41"/>
      <c r="B57" s="42"/>
      <c r="C57" s="242" t="s">
        <v>140</v>
      </c>
      <c r="D57" s="167" t="s">
        <v>141</v>
      </c>
      <c r="E57" s="169">
        <v>0</v>
      </c>
      <c r="F57" s="244">
        <f>H57+H58+H59</f>
        <v>0</v>
      </c>
      <c r="G57" s="170" t="s">
        <v>56</v>
      </c>
      <c r="H57" s="153" t="str">
        <f>IF(E57&gt;=6,600,IF(E57&gt;0,E57*100,"0"))</f>
        <v>0</v>
      </c>
      <c r="I57" s="246" t="s">
        <v>142</v>
      </c>
      <c r="J57" s="247"/>
      <c r="K57" s="4"/>
      <c r="L57" s="125"/>
      <c r="M57" s="42"/>
      <c r="N57" s="42"/>
      <c r="O57" s="42"/>
      <c r="P57" s="42"/>
    </row>
    <row r="58" spans="1:16" ht="15" customHeight="1" x14ac:dyDescent="0.25">
      <c r="A58" s="41"/>
      <c r="B58" s="42"/>
      <c r="C58" s="242"/>
      <c r="D58" s="118" t="s">
        <v>143</v>
      </c>
      <c r="E58" s="166" t="s">
        <v>72</v>
      </c>
      <c r="F58" s="244"/>
      <c r="G58" s="170" t="s">
        <v>56</v>
      </c>
      <c r="H58" s="153">
        <f>IF(E58="oui",100,"0")/4000*E3</f>
        <v>0</v>
      </c>
      <c r="I58" s="248" t="s">
        <v>144</v>
      </c>
      <c r="J58" s="249"/>
      <c r="K58" s="4"/>
      <c r="L58" s="125"/>
      <c r="M58" s="42" t="s">
        <v>147</v>
      </c>
      <c r="N58" s="42"/>
      <c r="O58" s="42"/>
      <c r="P58" s="42"/>
    </row>
    <row r="59" spans="1:16" ht="24.75" thickBot="1" x14ac:dyDescent="0.3">
      <c r="A59" s="41"/>
      <c r="B59" s="42"/>
      <c r="C59" s="243"/>
      <c r="D59" s="121" t="s">
        <v>145</v>
      </c>
      <c r="E59" s="171" t="s">
        <v>72</v>
      </c>
      <c r="F59" s="245"/>
      <c r="G59" s="101" t="s">
        <v>56</v>
      </c>
      <c r="H59" s="122" t="str">
        <f>IF(E59="oui",100,"0")</f>
        <v>0</v>
      </c>
      <c r="I59" s="250" t="s">
        <v>146</v>
      </c>
      <c r="J59" s="251"/>
      <c r="K59" s="4"/>
      <c r="L59" s="125"/>
      <c r="M59" s="42"/>
      <c r="N59" s="42"/>
      <c r="O59" s="42"/>
      <c r="P59" s="42"/>
    </row>
    <row r="60" spans="1:16" ht="15.75" thickBot="1" x14ac:dyDescent="0.3">
      <c r="A60" s="41"/>
      <c r="B60" s="59" t="s">
        <v>83</v>
      </c>
      <c r="C60" s="57"/>
      <c r="D60" s="58"/>
      <c r="E60" s="59"/>
      <c r="F60" s="94"/>
      <c r="G60" s="61"/>
      <c r="H60" s="61"/>
      <c r="I60" s="61"/>
      <c r="J60" s="63"/>
      <c r="K60" s="4"/>
      <c r="L60" s="125"/>
      <c r="M60" s="42"/>
      <c r="N60" s="42"/>
      <c r="O60" s="42"/>
      <c r="P60" s="42"/>
    </row>
    <row r="61" spans="1:16" ht="37.15" customHeight="1" x14ac:dyDescent="0.25">
      <c r="A61" s="41"/>
      <c r="B61" s="172"/>
      <c r="C61" s="236"/>
      <c r="D61" s="147" t="s">
        <v>148</v>
      </c>
      <c r="E61" s="104" t="s">
        <v>52</v>
      </c>
      <c r="F61" s="209">
        <f>+H61+H62</f>
        <v>0</v>
      </c>
      <c r="G61" s="105" t="s">
        <v>149</v>
      </c>
      <c r="H61" s="116" t="str">
        <f>IF(E61="oui",450/2600*E5,"0")</f>
        <v>0</v>
      </c>
      <c r="I61" s="238" t="s">
        <v>150</v>
      </c>
      <c r="J61" s="228"/>
      <c r="K61" s="4"/>
      <c r="L61" s="125"/>
      <c r="M61" s="42"/>
      <c r="N61" s="42"/>
      <c r="O61" s="42"/>
      <c r="P61" s="42"/>
    </row>
    <row r="62" spans="1:16" ht="15.75" thickBot="1" x14ac:dyDescent="0.3">
      <c r="A62" s="41"/>
      <c r="B62" s="42"/>
      <c r="C62" s="237"/>
      <c r="D62" s="173" t="s">
        <v>151</v>
      </c>
      <c r="E62" s="174" t="s">
        <v>72</v>
      </c>
      <c r="F62" s="210"/>
      <c r="G62" s="101" t="s">
        <v>56</v>
      </c>
      <c r="H62" s="122" t="str">
        <f>IF(E62="oui",100,"0")</f>
        <v>0</v>
      </c>
      <c r="I62" s="239" t="s">
        <v>152</v>
      </c>
      <c r="J62" s="214"/>
      <c r="K62" s="4"/>
      <c r="L62" s="125"/>
      <c r="M62" s="42"/>
      <c r="N62" s="42"/>
      <c r="O62" s="42"/>
      <c r="P62" s="42"/>
    </row>
    <row r="63" spans="1:16" x14ac:dyDescent="0.25">
      <c r="A63" s="175"/>
      <c r="B63" s="42"/>
      <c r="C63" s="176"/>
      <c r="D63" s="177"/>
      <c r="E63" s="42"/>
      <c r="F63" s="42"/>
      <c r="G63" s="178"/>
      <c r="H63" s="178"/>
      <c r="I63" s="42"/>
      <c r="J63" s="179"/>
      <c r="K63" s="4"/>
      <c r="L63" s="125"/>
      <c r="M63" s="42"/>
      <c r="N63" s="42"/>
      <c r="O63" s="42"/>
      <c r="P63" s="42"/>
    </row>
    <row r="64" spans="1:16" ht="18.75" x14ac:dyDescent="0.3">
      <c r="A64" s="47" t="s">
        <v>153</v>
      </c>
      <c r="B64" s="48"/>
      <c r="C64" s="49"/>
      <c r="D64" s="50"/>
      <c r="E64" s="51" t="s">
        <v>29</v>
      </c>
      <c r="F64" s="52">
        <f>SUM(F66:F84)</f>
        <v>0</v>
      </c>
      <c r="G64" s="145" t="str">
        <f>IF(F64="-","(Bloc non pris en compte car les obligations socle doivent être préalablement satisfaites)","")</f>
        <v/>
      </c>
      <c r="H64" s="145"/>
      <c r="I64" s="146"/>
      <c r="J64" s="55"/>
      <c r="K64" s="4"/>
      <c r="L64" s="42"/>
      <c r="M64" s="42"/>
      <c r="N64" s="42"/>
      <c r="O64" s="42"/>
      <c r="P64" s="42"/>
    </row>
    <row r="65" spans="1:16" ht="15.75" thickBot="1" x14ac:dyDescent="0.3">
      <c r="A65" s="41"/>
      <c r="B65" s="59" t="s">
        <v>30</v>
      </c>
      <c r="C65" s="57"/>
      <c r="D65" s="58"/>
      <c r="E65" s="59"/>
      <c r="F65" s="60">
        <f>F66+F68+F71+F73+F83</f>
        <v>0</v>
      </c>
      <c r="G65" s="180"/>
      <c r="H65" s="180"/>
      <c r="I65" s="180"/>
      <c r="J65" s="63"/>
      <c r="K65" s="4"/>
      <c r="L65" s="42"/>
      <c r="M65" s="42"/>
      <c r="N65" s="42"/>
      <c r="O65" s="42"/>
      <c r="P65" s="42"/>
    </row>
    <row r="66" spans="1:16" ht="45.6" customHeight="1" x14ac:dyDescent="0.25">
      <c r="A66" s="41"/>
      <c r="B66" s="42"/>
      <c r="C66" s="225" t="s">
        <v>154</v>
      </c>
      <c r="D66" s="114" t="s">
        <v>155</v>
      </c>
      <c r="E66" s="181">
        <v>0</v>
      </c>
      <c r="F66" s="240">
        <f>(H66*O11)+H67</f>
        <v>0</v>
      </c>
      <c r="G66" s="182" t="s">
        <v>156</v>
      </c>
      <c r="H66" s="116">
        <f>IF(E66&gt;=1,200/4000*E8)+IF(E66&gt;=2,400/4000*E8)+IF(E66&gt;=3,800/4000*E8,0)+IF(AND(E66&gt;1,J7&gt;=1),50/4000*E8,0)+IF(AND(E66&gt;=3,J7&gt;=1),50/4000*E8,0)</f>
        <v>0</v>
      </c>
      <c r="I66" s="227" t="s">
        <v>157</v>
      </c>
      <c r="J66" s="228"/>
      <c r="K66" s="4"/>
      <c r="L66" s="42"/>
      <c r="M66" s="42"/>
      <c r="N66" s="42"/>
      <c r="O66" s="42"/>
      <c r="P66" s="42"/>
    </row>
    <row r="67" spans="1:16" ht="15.6" customHeight="1" thickBot="1" x14ac:dyDescent="0.3">
      <c r="A67" s="41"/>
      <c r="B67" s="42"/>
      <c r="C67" s="226"/>
      <c r="D67" s="127" t="s">
        <v>158</v>
      </c>
      <c r="E67" s="128" t="s">
        <v>72</v>
      </c>
      <c r="F67" s="241"/>
      <c r="G67" s="101"/>
      <c r="H67" s="122">
        <f>IF(E67="-",0,IF(E66&gt;0,E66*300))</f>
        <v>0</v>
      </c>
      <c r="I67" s="213" t="s">
        <v>159</v>
      </c>
      <c r="J67" s="214"/>
      <c r="K67" s="4"/>
      <c r="L67" s="42"/>
      <c r="M67" s="42"/>
      <c r="N67" s="42"/>
      <c r="O67" s="42"/>
      <c r="P67" s="42"/>
    </row>
    <row r="68" spans="1:16" ht="31.15" customHeight="1" x14ac:dyDescent="0.25">
      <c r="A68" s="41"/>
      <c r="B68" s="42"/>
      <c r="C68" s="225" t="s">
        <v>160</v>
      </c>
      <c r="D68" s="114" t="s">
        <v>161</v>
      </c>
      <c r="E68" s="104" t="s">
        <v>72</v>
      </c>
      <c r="F68" s="209">
        <f>H68+H69</f>
        <v>0</v>
      </c>
      <c r="G68" s="182" t="s">
        <v>162</v>
      </c>
      <c r="H68" s="116" t="str">
        <f>IF(E68="oui",200,"0")</f>
        <v>0</v>
      </c>
      <c r="I68" s="227" t="s">
        <v>163</v>
      </c>
      <c r="J68" s="228"/>
      <c r="K68" s="4"/>
      <c r="L68" s="42"/>
      <c r="M68" s="42"/>
      <c r="N68" s="42"/>
      <c r="O68" s="42"/>
      <c r="P68" s="42"/>
    </row>
    <row r="69" spans="1:16" ht="31.15" customHeight="1" thickBot="1" x14ac:dyDescent="0.3">
      <c r="A69" s="41"/>
      <c r="B69" s="42"/>
      <c r="C69" s="226"/>
      <c r="D69" s="127" t="s">
        <v>164</v>
      </c>
      <c r="E69" s="128" t="s">
        <v>72</v>
      </c>
      <c r="F69" s="210"/>
      <c r="G69" s="101" t="s">
        <v>56</v>
      </c>
      <c r="H69" s="122">
        <f>IF(E69="oui",300,"0")/4000*E8</f>
        <v>0</v>
      </c>
      <c r="I69" s="213" t="s">
        <v>165</v>
      </c>
      <c r="J69" s="214"/>
      <c r="K69" s="4"/>
      <c r="L69" s="42"/>
      <c r="M69" s="42"/>
      <c r="N69" s="42"/>
      <c r="O69" s="42"/>
      <c r="P69" s="42"/>
    </row>
    <row r="70" spans="1:16" ht="15.75" thickBot="1" x14ac:dyDescent="0.3">
      <c r="A70" s="41"/>
      <c r="B70" s="56" t="s">
        <v>66</v>
      </c>
      <c r="C70" s="57"/>
      <c r="D70" s="58"/>
      <c r="E70" s="59"/>
      <c r="F70" s="94"/>
      <c r="G70" s="61"/>
      <c r="H70" s="61"/>
      <c r="I70" s="62"/>
      <c r="J70" s="63"/>
      <c r="K70" s="4"/>
      <c r="L70" s="42"/>
      <c r="M70" s="42"/>
      <c r="N70" s="42"/>
      <c r="O70" s="42"/>
      <c r="P70" s="42"/>
    </row>
    <row r="71" spans="1:16" ht="47.25" thickBot="1" x14ac:dyDescent="0.3">
      <c r="A71" s="41"/>
      <c r="B71" s="42"/>
      <c r="C71" s="183" t="s">
        <v>166</v>
      </c>
      <c r="D71" s="136" t="s">
        <v>167</v>
      </c>
      <c r="E71" s="184" t="s">
        <v>72</v>
      </c>
      <c r="F71" s="132" t="str">
        <f>H71</f>
        <v>0</v>
      </c>
      <c r="G71" s="133" t="s">
        <v>56</v>
      </c>
      <c r="H71" s="134" t="str">
        <f>IF(AND(E71&gt;=1,E71&lt;=4),100+(E71-1)*150+(25/11*(J4+H8))*(E71-1),"0")</f>
        <v>0</v>
      </c>
      <c r="I71" s="229" t="s">
        <v>168</v>
      </c>
      <c r="J71" s="230"/>
      <c r="K71" s="4"/>
      <c r="L71" s="42"/>
      <c r="M71" s="42"/>
      <c r="N71" s="42"/>
      <c r="O71" s="42"/>
      <c r="P71" s="42"/>
    </row>
    <row r="72" spans="1:16" ht="15.75" thickBot="1" x14ac:dyDescent="0.3">
      <c r="A72" s="41"/>
      <c r="B72" s="56" t="s">
        <v>83</v>
      </c>
      <c r="C72" s="57"/>
      <c r="D72" s="58"/>
      <c r="E72" s="59"/>
      <c r="F72" s="94"/>
      <c r="G72" s="61"/>
      <c r="H72" s="61"/>
      <c r="I72" s="62"/>
      <c r="J72" s="63"/>
      <c r="K72" s="4"/>
      <c r="L72" s="42"/>
      <c r="M72" s="42"/>
      <c r="N72" s="42"/>
      <c r="O72" s="42"/>
      <c r="P72" s="42"/>
    </row>
    <row r="73" spans="1:16" ht="22.9" customHeight="1" x14ac:dyDescent="0.25">
      <c r="A73" s="41"/>
      <c r="B73" s="42"/>
      <c r="C73" s="68"/>
      <c r="D73" s="114" t="s">
        <v>169</v>
      </c>
      <c r="E73" s="185" t="s">
        <v>72</v>
      </c>
      <c r="F73" s="231">
        <f>SUM(H73,H74,H75,H76,H77,H78,H79,H80,H81)</f>
        <v>0</v>
      </c>
      <c r="G73" s="182" t="s">
        <v>56</v>
      </c>
      <c r="H73" s="116" t="str">
        <f>IF(E73="oui",40*J6,"0")</f>
        <v>0</v>
      </c>
      <c r="I73" s="227" t="s">
        <v>170</v>
      </c>
      <c r="J73" s="228"/>
      <c r="K73" s="4"/>
      <c r="L73" s="42"/>
      <c r="M73" s="42"/>
      <c r="N73" s="42"/>
      <c r="O73" s="42"/>
      <c r="P73" s="42"/>
    </row>
    <row r="74" spans="1:16" ht="25.15" customHeight="1" x14ac:dyDescent="0.25">
      <c r="A74" s="41"/>
      <c r="B74" s="42"/>
      <c r="C74" s="186"/>
      <c r="D74" s="167" t="s">
        <v>171</v>
      </c>
      <c r="E74" s="187" t="s">
        <v>72</v>
      </c>
      <c r="F74" s="232"/>
      <c r="G74" s="188" t="s">
        <v>56</v>
      </c>
      <c r="H74" s="153">
        <f>IF(E74="oui",40*J6,0)</f>
        <v>0</v>
      </c>
      <c r="I74" s="234" t="s">
        <v>172</v>
      </c>
      <c r="J74" s="235"/>
      <c r="K74" s="4"/>
      <c r="L74" s="42"/>
      <c r="M74" s="42"/>
      <c r="N74" s="42"/>
      <c r="O74" s="42"/>
      <c r="P74" s="42"/>
    </row>
    <row r="75" spans="1:16" ht="14.45" customHeight="1" x14ac:dyDescent="0.25">
      <c r="A75" s="41"/>
      <c r="B75" s="42"/>
      <c r="C75" s="186"/>
      <c r="D75" s="167" t="s">
        <v>173</v>
      </c>
      <c r="E75" s="187" t="s">
        <v>72</v>
      </c>
      <c r="F75" s="232"/>
      <c r="G75" s="189" t="s">
        <v>56</v>
      </c>
      <c r="H75" s="119" t="str">
        <f>IF(E75="oui",100,"0")</f>
        <v>0</v>
      </c>
      <c r="I75" s="215" t="s">
        <v>174</v>
      </c>
      <c r="J75" s="216"/>
      <c r="K75" s="4"/>
      <c r="L75" s="42"/>
      <c r="M75" s="42"/>
      <c r="N75" s="42"/>
      <c r="O75" s="42"/>
      <c r="P75" s="42"/>
    </row>
    <row r="76" spans="1:16" ht="24" customHeight="1" x14ac:dyDescent="0.25">
      <c r="A76" s="41"/>
      <c r="B76" s="42"/>
      <c r="C76" s="186"/>
      <c r="D76" s="167" t="s">
        <v>175</v>
      </c>
      <c r="E76" s="187" t="s">
        <v>72</v>
      </c>
      <c r="F76" s="232"/>
      <c r="G76" s="189" t="s">
        <v>56</v>
      </c>
      <c r="H76" s="119" t="str">
        <f>IF(E76="oui",50,"0")</f>
        <v>0</v>
      </c>
      <c r="I76" s="215" t="s">
        <v>176</v>
      </c>
      <c r="J76" s="216"/>
      <c r="K76" s="4"/>
      <c r="L76" s="42"/>
      <c r="M76" s="42"/>
      <c r="N76" s="42"/>
      <c r="O76" s="42"/>
      <c r="P76" s="42"/>
    </row>
    <row r="77" spans="1:16" ht="14.45" customHeight="1" x14ac:dyDescent="0.25">
      <c r="A77" s="41"/>
      <c r="B77" s="42"/>
      <c r="C77" s="186"/>
      <c r="D77" s="167" t="s">
        <v>177</v>
      </c>
      <c r="E77" s="187" t="s">
        <v>72</v>
      </c>
      <c r="F77" s="232"/>
      <c r="G77" s="189" t="s">
        <v>56</v>
      </c>
      <c r="H77" s="119" t="str">
        <f>IF(E77="oui",50,"0")</f>
        <v>0</v>
      </c>
      <c r="I77" s="215" t="s">
        <v>178</v>
      </c>
      <c r="J77" s="216"/>
      <c r="K77" s="4"/>
      <c r="L77" s="42"/>
      <c r="M77" s="42"/>
      <c r="N77" s="42"/>
      <c r="O77" s="42"/>
      <c r="P77" s="42"/>
    </row>
    <row r="78" spans="1:16" ht="14.45" customHeight="1" x14ac:dyDescent="0.25">
      <c r="A78" s="41"/>
      <c r="B78" s="42"/>
      <c r="C78" s="186"/>
      <c r="D78" s="167" t="s">
        <v>179</v>
      </c>
      <c r="E78" s="187" t="s">
        <v>72</v>
      </c>
      <c r="F78" s="232"/>
      <c r="G78" s="188" t="s">
        <v>56</v>
      </c>
      <c r="H78" s="119" t="str">
        <f>IF(E78="oui",(J4+J5)*25,"0")</f>
        <v>0</v>
      </c>
      <c r="I78" s="217" t="s">
        <v>180</v>
      </c>
      <c r="J78" s="218"/>
      <c r="K78" s="4"/>
      <c r="L78" s="42"/>
      <c r="M78" s="42"/>
      <c r="N78" s="42"/>
      <c r="O78" s="42"/>
      <c r="P78" s="42"/>
    </row>
    <row r="79" spans="1:16" ht="14.45" customHeight="1" x14ac:dyDescent="0.25">
      <c r="A79" s="41"/>
      <c r="B79" s="42"/>
      <c r="C79" s="186"/>
      <c r="D79" s="190" t="s">
        <v>181</v>
      </c>
      <c r="E79" s="191" t="s">
        <v>72</v>
      </c>
      <c r="F79" s="232"/>
      <c r="G79" s="188" t="s">
        <v>56</v>
      </c>
      <c r="H79" s="119" t="str">
        <f>IF(E79="oui",90,"0")</f>
        <v>0</v>
      </c>
      <c r="I79" s="219" t="s">
        <v>182</v>
      </c>
      <c r="J79" s="220"/>
      <c r="K79" s="4"/>
      <c r="L79" s="42"/>
      <c r="M79" s="42"/>
      <c r="N79" s="42"/>
      <c r="O79" s="42"/>
      <c r="P79" s="42"/>
    </row>
    <row r="80" spans="1:16" ht="30.6" customHeight="1" x14ac:dyDescent="0.25">
      <c r="A80" s="41"/>
      <c r="B80" s="42"/>
      <c r="C80" s="186"/>
      <c r="D80" s="192" t="s">
        <v>183</v>
      </c>
      <c r="E80" s="191" t="s">
        <v>72</v>
      </c>
      <c r="F80" s="232"/>
      <c r="G80" s="189" t="s">
        <v>56</v>
      </c>
      <c r="H80" s="119" t="str">
        <f>IF(E80="oui",440/11*J4,"0")</f>
        <v>0</v>
      </c>
      <c r="I80" s="215" t="s">
        <v>184</v>
      </c>
      <c r="J80" s="216"/>
      <c r="K80" s="4"/>
      <c r="L80" s="42"/>
      <c r="M80" s="42"/>
      <c r="N80" s="42"/>
      <c r="O80" s="42"/>
      <c r="P80" s="42"/>
    </row>
    <row r="81" spans="1:16" ht="12" customHeight="1" x14ac:dyDescent="0.25">
      <c r="A81" s="41"/>
      <c r="B81" s="42"/>
      <c r="C81" s="221"/>
      <c r="D81" s="192" t="s">
        <v>185</v>
      </c>
      <c r="E81" s="191" t="s">
        <v>72</v>
      </c>
      <c r="F81" s="232"/>
      <c r="G81" s="189" t="s">
        <v>56</v>
      </c>
      <c r="H81" s="193" t="str">
        <f>IF(E81="oui",46/3.3*J8,"0")</f>
        <v>0</v>
      </c>
      <c r="I81" s="215" t="s">
        <v>186</v>
      </c>
      <c r="J81" s="216"/>
      <c r="K81" s="4"/>
      <c r="L81" s="42"/>
      <c r="M81" s="42"/>
      <c r="N81" s="42"/>
      <c r="O81" s="42"/>
      <c r="P81" s="42"/>
    </row>
    <row r="82" spans="1:16" ht="14.45" customHeight="1" thickBot="1" x14ac:dyDescent="0.3">
      <c r="A82" s="41"/>
      <c r="B82" s="42"/>
      <c r="C82" s="222"/>
      <c r="D82" s="42"/>
      <c r="E82" s="42"/>
      <c r="F82" s="233"/>
      <c r="G82" s="194"/>
      <c r="H82" s="195">
        <f>SUM(H73:H81)</f>
        <v>0</v>
      </c>
      <c r="I82" s="223"/>
      <c r="J82" s="224"/>
      <c r="K82" s="4"/>
      <c r="L82" s="42"/>
      <c r="M82" s="42"/>
      <c r="N82" s="42"/>
      <c r="O82" s="42"/>
      <c r="P82" s="42"/>
    </row>
    <row r="83" spans="1:16" ht="24.6" customHeight="1" thickBot="1" x14ac:dyDescent="0.3">
      <c r="A83" s="175"/>
      <c r="B83" s="42"/>
      <c r="C83" s="207" t="s">
        <v>187</v>
      </c>
      <c r="D83" s="196" t="s">
        <v>188</v>
      </c>
      <c r="E83" s="137" t="s">
        <v>72</v>
      </c>
      <c r="F83" s="209">
        <f>SUM(H83,H84)</f>
        <v>0</v>
      </c>
      <c r="G83" s="182" t="s">
        <v>56</v>
      </c>
      <c r="H83" s="116" t="str">
        <f>IF(E83="oui",40*J6,"0")</f>
        <v>0</v>
      </c>
      <c r="I83" s="211" t="s">
        <v>189</v>
      </c>
      <c r="J83" s="212"/>
      <c r="K83" s="4"/>
      <c r="L83" s="42"/>
      <c r="M83" s="42"/>
      <c r="N83" s="42"/>
      <c r="O83" s="42"/>
      <c r="P83" s="42"/>
    </row>
    <row r="84" spans="1:16" ht="30" customHeight="1" thickBot="1" x14ac:dyDescent="0.3">
      <c r="A84" s="197"/>
      <c r="B84" s="198"/>
      <c r="C84" s="208"/>
      <c r="D84" s="199" t="s">
        <v>190</v>
      </c>
      <c r="E84" s="200" t="s">
        <v>72</v>
      </c>
      <c r="F84" s="210"/>
      <c r="G84" s="164" t="s">
        <v>56</v>
      </c>
      <c r="H84" s="122" t="str">
        <f>IF(E84="oui",40*J6,"0")</f>
        <v>0</v>
      </c>
      <c r="I84" s="213" t="s">
        <v>189</v>
      </c>
      <c r="J84" s="214"/>
      <c r="K84" s="4"/>
      <c r="L84" s="42"/>
      <c r="M84" s="42"/>
      <c r="N84" s="42"/>
      <c r="O84" s="42"/>
      <c r="P84" s="42"/>
    </row>
    <row r="85" spans="1:16" x14ac:dyDescent="0.25">
      <c r="A85" s="42"/>
      <c r="B85" s="42"/>
      <c r="C85" s="176"/>
      <c r="D85" s="177"/>
      <c r="E85" s="42"/>
      <c r="F85" s="42"/>
      <c r="G85" s="178"/>
      <c r="H85" s="178"/>
      <c r="I85" s="42"/>
      <c r="J85" s="178"/>
      <c r="K85" s="4"/>
      <c r="L85" s="42"/>
      <c r="M85" s="42"/>
      <c r="N85" s="42"/>
      <c r="O85" s="42"/>
      <c r="P85" s="42"/>
    </row>
    <row r="86" spans="1:16" x14ac:dyDescent="0.25">
      <c r="D86" s="1"/>
      <c r="E86" s="1"/>
      <c r="F86" s="1"/>
      <c r="G86" s="1"/>
      <c r="H86" s="1"/>
      <c r="I86" s="1"/>
      <c r="J86" s="1"/>
      <c r="K86" s="1"/>
      <c r="L86" s="1"/>
      <c r="M86" s="1"/>
      <c r="N86" s="1"/>
      <c r="O86" s="1"/>
      <c r="P86" s="1"/>
    </row>
    <row r="87" spans="1:16" x14ac:dyDescent="0.25">
      <c r="D87" s="1"/>
      <c r="E87" s="201"/>
      <c r="F87" s="1"/>
      <c r="G87" s="1"/>
      <c r="H87" s="1"/>
      <c r="I87" s="1"/>
      <c r="J87" s="1"/>
      <c r="K87" s="81"/>
      <c r="L87" s="1"/>
      <c r="M87" s="1"/>
      <c r="N87" s="81"/>
      <c r="O87" s="81"/>
      <c r="P87" s="81"/>
    </row>
    <row r="88" spans="1:16" x14ac:dyDescent="0.25">
      <c r="D88" s="201"/>
      <c r="E88" s="201"/>
      <c r="F88" s="201"/>
      <c r="G88" s="201"/>
      <c r="H88" s="201"/>
      <c r="I88" s="201"/>
      <c r="L88" s="81"/>
      <c r="M88" s="81"/>
    </row>
    <row r="89" spans="1:16" ht="27.6" customHeight="1" x14ac:dyDescent="0.25">
      <c r="A89" s="201"/>
      <c r="B89" s="201"/>
      <c r="C89" s="201"/>
      <c r="D89" s="201"/>
      <c r="E89" s="201"/>
      <c r="F89" s="201"/>
      <c r="G89" s="201"/>
      <c r="H89" s="201"/>
      <c r="I89" s="201"/>
    </row>
    <row r="90" spans="1:16" x14ac:dyDescent="0.25">
      <c r="A90" s="201"/>
      <c r="B90" s="201"/>
      <c r="C90" s="201"/>
      <c r="D90" s="201"/>
      <c r="E90" s="201"/>
      <c r="F90" s="201"/>
      <c r="G90" s="201"/>
      <c r="H90" s="201"/>
      <c r="I90" s="201"/>
    </row>
    <row r="91" spans="1:16" x14ac:dyDescent="0.25">
      <c r="A91" s="1"/>
      <c r="B91" s="1"/>
      <c r="D91" s="201"/>
      <c r="E91" s="201"/>
      <c r="K91" s="1"/>
      <c r="P91" s="1"/>
    </row>
    <row r="92" spans="1:16" x14ac:dyDescent="0.25">
      <c r="A92" s="1"/>
      <c r="B92" s="1"/>
      <c r="D92" s="201"/>
      <c r="E92" s="201"/>
      <c r="K92" s="1"/>
      <c r="P92" s="1"/>
    </row>
    <row r="93" spans="1:16" x14ac:dyDescent="0.25">
      <c r="A93" s="1"/>
      <c r="B93" s="1"/>
      <c r="D93" s="201"/>
      <c r="E93" s="201"/>
      <c r="K93" s="81"/>
      <c r="P93" s="81"/>
    </row>
    <row r="94" spans="1:16" x14ac:dyDescent="0.25">
      <c r="D94" s="201"/>
      <c r="E94" s="201"/>
    </row>
    <row r="95" spans="1:16" ht="16.5" customHeight="1" x14ac:dyDescent="0.25">
      <c r="D95" s="201"/>
      <c r="E95" s="201"/>
    </row>
    <row r="96" spans="1:16" ht="22.15" customHeight="1" x14ac:dyDescent="0.25">
      <c r="D96" s="201"/>
    </row>
    <row r="97" ht="15.75" customHeight="1" x14ac:dyDescent="0.25"/>
    <row r="100" ht="90.6" customHeight="1" x14ac:dyDescent="0.25"/>
    <row r="101" ht="28.9" customHeight="1" x14ac:dyDescent="0.25"/>
  </sheetData>
  <mergeCells count="100">
    <mergeCell ref="D1:J1"/>
    <mergeCell ref="A2:J2"/>
    <mergeCell ref="C6:D6"/>
    <mergeCell ref="C7:D7"/>
    <mergeCell ref="C8:D8"/>
    <mergeCell ref="C3:D3"/>
    <mergeCell ref="C4:D4"/>
    <mergeCell ref="C5:D5"/>
    <mergeCell ref="L10:O10"/>
    <mergeCell ref="I13:J13"/>
    <mergeCell ref="I14:J14"/>
    <mergeCell ref="C9:D9"/>
    <mergeCell ref="I9:J9"/>
    <mergeCell ref="C18:C20"/>
    <mergeCell ref="F18:F20"/>
    <mergeCell ref="I18:J18"/>
    <mergeCell ref="D19:D20"/>
    <mergeCell ref="C12:C17"/>
    <mergeCell ref="F12:F17"/>
    <mergeCell ref="I12:J12"/>
    <mergeCell ref="I26:J26"/>
    <mergeCell ref="I19:J19"/>
    <mergeCell ref="I20:J20"/>
    <mergeCell ref="I15:J15"/>
    <mergeCell ref="I16:J16"/>
    <mergeCell ref="I17:J17"/>
    <mergeCell ref="C22:C25"/>
    <mergeCell ref="F22:F25"/>
    <mergeCell ref="I22:J22"/>
    <mergeCell ref="I23:J23"/>
    <mergeCell ref="I24:J24"/>
    <mergeCell ref="C33:C37"/>
    <mergeCell ref="F33:F37"/>
    <mergeCell ref="I33:J33"/>
    <mergeCell ref="I34:J34"/>
    <mergeCell ref="I35:J35"/>
    <mergeCell ref="I36:J36"/>
    <mergeCell ref="H40:H41"/>
    <mergeCell ref="I40:J41"/>
    <mergeCell ref="I42:J42"/>
    <mergeCell ref="I27:J27"/>
    <mergeCell ref="I29:J29"/>
    <mergeCell ref="I43:J43"/>
    <mergeCell ref="I44:J44"/>
    <mergeCell ref="C46:C51"/>
    <mergeCell ref="F46:F51"/>
    <mergeCell ref="I46:J46"/>
    <mergeCell ref="I47:J47"/>
    <mergeCell ref="I48:J48"/>
    <mergeCell ref="I49:J49"/>
    <mergeCell ref="I50:J50"/>
    <mergeCell ref="C38:C43"/>
    <mergeCell ref="F38:F43"/>
    <mergeCell ref="I38:J38"/>
    <mergeCell ref="I39:J39"/>
    <mergeCell ref="D40:D41"/>
    <mergeCell ref="E40:E41"/>
    <mergeCell ref="G40:G41"/>
    <mergeCell ref="C52:C55"/>
    <mergeCell ref="F52:F55"/>
    <mergeCell ref="I52:J52"/>
    <mergeCell ref="I53:J53"/>
    <mergeCell ref="I54:J54"/>
    <mergeCell ref="I55:J55"/>
    <mergeCell ref="I56:J56"/>
    <mergeCell ref="C57:C59"/>
    <mergeCell ref="F57:F59"/>
    <mergeCell ref="I57:J57"/>
    <mergeCell ref="I58:J58"/>
    <mergeCell ref="I59:J59"/>
    <mergeCell ref="C61:C62"/>
    <mergeCell ref="F61:F62"/>
    <mergeCell ref="I61:J61"/>
    <mergeCell ref="I62:J62"/>
    <mergeCell ref="C66:C67"/>
    <mergeCell ref="F66:F67"/>
    <mergeCell ref="I66:J66"/>
    <mergeCell ref="I67:J67"/>
    <mergeCell ref="I71:J71"/>
    <mergeCell ref="F73:F82"/>
    <mergeCell ref="I73:J73"/>
    <mergeCell ref="I74:J74"/>
    <mergeCell ref="I75:J75"/>
    <mergeCell ref="I76:J76"/>
    <mergeCell ref="E19:E20"/>
    <mergeCell ref="C83:C84"/>
    <mergeCell ref="F83:F84"/>
    <mergeCell ref="I83:J83"/>
    <mergeCell ref="I84:J84"/>
    <mergeCell ref="I77:J77"/>
    <mergeCell ref="I78:J78"/>
    <mergeCell ref="I79:J79"/>
    <mergeCell ref="I80:J80"/>
    <mergeCell ref="C81:C82"/>
    <mergeCell ref="I81:J81"/>
    <mergeCell ref="I82:J82"/>
    <mergeCell ref="C68:C69"/>
    <mergeCell ref="F68:F69"/>
    <mergeCell ref="I68:J68"/>
    <mergeCell ref="I69:J69"/>
  </mergeCells>
  <dataValidations count="6">
    <dataValidation allowBlank="1" showInputMessage="1" showErrorMessage="1" prompt="Nombre à indiquer (de 0 à 2)" sqref="E33 E50:E51 E47 E56" xr:uid="{7F20C7D3-8271-4C88-A5F5-C7CB38A40B8C}"/>
    <dataValidation type="list" allowBlank="1" showInputMessage="1" showErrorMessage="1" promptTitle="Si centre concerné :" prompt="oui / non" sqref="E35:E36 E27 E42:E44 E58:E59 E48:E49 E53:E54 E18:E19 E23:E24" xr:uid="{AFF96F33-3C96-4123-8241-94F4ACC157C9}">
      <formula1>"-,oui,non"</formula1>
    </dataValidation>
    <dataValidation allowBlank="1" showInputMessage="1" showErrorMessage="1" prompt="Nombre à indiquer" sqref="E66 E15 E55 E57 E26" xr:uid="{53421055-2801-4E0C-AF4D-74FBB7B34E51}"/>
    <dataValidation type="list" allowBlank="1" showInputMessage="1" showErrorMessage="1" prompt="oui / non" sqref="E38:E40 E46 E22 E52 E61:E62 E68:E69 E34 E13:E14 E29:E30 E83:E84 E54 E73:E81 E16" xr:uid="{3C3934B8-D7E3-440D-BBA4-D9EBCEC7EF70}">
      <formula1>"-,oui,non"</formula1>
    </dataValidation>
    <dataValidation type="list" allowBlank="1" showInputMessage="1" showErrorMessage="1" prompt="Utilisez la liste" sqref="E12" xr:uid="{7BBD64D8-1E44-44C0-8781-C482F87A2D48}">
      <formula1>"-,Moins de 8 h,Moins de 10 h (et + de 8),Moins de 12 h (et + de 10),12 h et +"</formula1>
    </dataValidation>
    <dataValidation type="list" allowBlank="1" showInputMessage="1" showErrorMessage="1" prompt="Nombre à indiquer" sqref="E71 E67" xr:uid="{DE4E6576-FA22-4AC5-AC2C-D7205CF9E142}">
      <formula1>"-,1,2,3,4"</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6E14540F1DE748BB9E7F5DD33B7B9E" ma:contentTypeVersion="15" ma:contentTypeDescription="Crée un document." ma:contentTypeScope="" ma:versionID="64d30847b124b66644bd2118d302e5cd">
  <xsd:schema xmlns:xsd="http://www.w3.org/2001/XMLSchema" xmlns:xs="http://www.w3.org/2001/XMLSchema" xmlns:p="http://schemas.microsoft.com/office/2006/metadata/properties" xmlns:ns2="1cd2313e-a2b5-4262-89cf-ebaf03c2f2a5" xmlns:ns3="b0258961-383b-456f-bd6d-4464a0e37b72" targetNamespace="http://schemas.microsoft.com/office/2006/metadata/properties" ma:root="true" ma:fieldsID="d041d2ce3445162246c32b4a6142f287" ns2:_="" ns3:_="">
    <xsd:import namespace="1cd2313e-a2b5-4262-89cf-ebaf03c2f2a5"/>
    <xsd:import namespace="b0258961-383b-456f-bd6d-4464a0e37b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d2313e-a2b5-4262-89cf-ebaf03c2f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ccba780b-ec8d-4d8c-b430-11b331290c8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258961-383b-456f-bd6d-4464a0e37b7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23b83d-7c0d-426d-b53d-b22a725c90c0}" ma:internalName="TaxCatchAll" ma:showField="CatchAllData" ma:web="b0258961-383b-456f-bd6d-4464a0e37b7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d2313e-a2b5-4262-89cf-ebaf03c2f2a5">
      <Terms xmlns="http://schemas.microsoft.com/office/infopath/2007/PartnerControls"/>
    </lcf76f155ced4ddcb4097134ff3c332f>
    <TaxCatchAll xmlns="b0258961-383b-456f-bd6d-4464a0e37b72" xsi:nil="true"/>
  </documentManagement>
</p:properties>
</file>

<file path=customXml/itemProps1.xml><?xml version="1.0" encoding="utf-8"?>
<ds:datastoreItem xmlns:ds="http://schemas.openxmlformats.org/officeDocument/2006/customXml" ds:itemID="{7D92C06E-B074-448A-9509-9D9B1B3E43DF}"/>
</file>

<file path=customXml/itemProps2.xml><?xml version="1.0" encoding="utf-8"?>
<ds:datastoreItem xmlns:ds="http://schemas.openxmlformats.org/officeDocument/2006/customXml" ds:itemID="{41ECA76C-8754-43AE-99EB-08255CC4361A}"/>
</file>

<file path=customXml/itemProps3.xml><?xml version="1.0" encoding="utf-8"?>
<ds:datastoreItem xmlns:ds="http://schemas.openxmlformats.org/officeDocument/2006/customXml" ds:itemID="{ECE9469A-3958-4FDA-8BF1-D88A3DBE79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LOPEZ</dc:creator>
  <cp:lastModifiedBy>Sabrina Tanqueray</cp:lastModifiedBy>
  <dcterms:created xsi:type="dcterms:W3CDTF">2015-06-05T18:19:34Z</dcterms:created>
  <dcterms:modified xsi:type="dcterms:W3CDTF">2025-06-18T15:39:19Z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0x010100156E14540F1DE748BB9E7F5DD33B7B9E</vt:lpwstr>
  </property>
</Properties>
</file>